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783" activeTab="1"/>
  </bookViews>
  <sheets>
    <sheet name="封面 " sheetId="17" r:id="rId1"/>
    <sheet name="汇总表" sheetId="1" r:id="rId2"/>
    <sheet name="结算审核明细表" sheetId="12" r:id="rId3"/>
    <sheet name="工程量核对表" sheetId="3" r:id="rId4"/>
    <sheet name="工程量计算稿" sheetId="7" r:id="rId5"/>
    <sheet name="二转材料统计" sheetId="16" r:id="rId6"/>
  </sheets>
  <externalReferences>
    <externalReference r:id="rId7"/>
  </externalReferences>
  <definedNames>
    <definedName name="_xlnm._FilterDatabase" localSheetId="2" hidden="1">结算审核明细表!$A$3:$U$205</definedName>
    <definedName name="_xlnm._FilterDatabase" localSheetId="3" hidden="1">工程量核对表!$A$1:$L$159</definedName>
    <definedName name="D">EVALUATE(工程量计算稿!XFD1048574)</definedName>
    <definedName name="_xlnm.Print_Titles" localSheetId="3">工程量核对表!$1:$4</definedName>
    <definedName name="_xlnm.Print_Titles" localSheetId="4">工程量计算稿!$1:$3</definedName>
    <definedName name="_xlnm.Print_Titles" localSheetId="1">汇总表!$1:$4</definedName>
    <definedName name="_xlnm.Print_Titles" localSheetId="2">结算审核明细表!$1:$5</definedName>
    <definedName name="D" localSheetId="5">EVALUATE(#REF!)</definedName>
    <definedName name="D" localSheetId="0">EVALUATE([1]工程量计算稿!XFD1048574)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<sst xmlns="http://schemas.openxmlformats.org/spreadsheetml/2006/main" count="858" uniqueCount="314">
  <si>
    <t/>
  </si>
  <si>
    <t>南江县和平镇铁炉村饮水安全工程</t>
  </si>
  <si>
    <t>结算审计复核情况公示</t>
  </si>
  <si>
    <t>签约合同价(小写):</t>
  </si>
  <si>
    <t>(大写):</t>
  </si>
  <si>
    <t>竣工结算价(小写):</t>
  </si>
  <si>
    <t>结    算
多计金额（小写):</t>
  </si>
  <si>
    <t>发　包　人:</t>
  </si>
  <si>
    <t>南江县和平镇铁炉村村民委员会</t>
  </si>
  <si>
    <t>承　包　人:</t>
  </si>
  <si>
    <t>四川华佳泰建设有限公司</t>
  </si>
  <si>
    <t>造价咨询人:</t>
  </si>
  <si>
    <t>永道工程咨询（江苏）有限公司</t>
  </si>
  <si>
    <t>(单位盖章)</t>
  </si>
  <si>
    <t>法定代表人
或其授权人:</t>
  </si>
  <si>
    <t xml:space="preserve"> </t>
  </si>
  <si>
    <t>(签字或盖章)</t>
  </si>
  <si>
    <t>复 核 单 位:</t>
  </si>
  <si>
    <t>南江县审计局</t>
  </si>
  <si>
    <t>复  核　人:</t>
  </si>
  <si>
    <t xml:space="preserve">
复 核 时 间:</t>
  </si>
  <si>
    <t>结算审核汇总表</t>
  </si>
  <si>
    <t>工程名称：南江县和平乡铁炉村饮水安全工程</t>
  </si>
  <si>
    <t>序号</t>
  </si>
  <si>
    <t>工程项目及名称</t>
  </si>
  <si>
    <t>单位</t>
  </si>
  <si>
    <t>设计预算价（元）</t>
  </si>
  <si>
    <t>竣工结算价（元）</t>
  </si>
  <si>
    <t>结算审核价（元）</t>
  </si>
  <si>
    <t>审核增减（元）</t>
  </si>
  <si>
    <t>备 注</t>
  </si>
  <si>
    <t>设备费</t>
  </si>
  <si>
    <t>安装费</t>
  </si>
  <si>
    <t>相比签约合同价</t>
  </si>
  <si>
    <t>相比竣工结算价</t>
  </si>
  <si>
    <t>安装费执行3%简易计税</t>
  </si>
  <si>
    <t>执行3%简易计税</t>
  </si>
  <si>
    <t>第五部分 独立费用</t>
  </si>
  <si>
    <t>工程总投资</t>
  </si>
  <si>
    <t>送审结算汇总表未计设计费</t>
  </si>
  <si>
    <t>其中甲供PE管材费</t>
  </si>
  <si>
    <t>业主自行核定</t>
  </si>
  <si>
    <t>其中勘察设计费</t>
  </si>
  <si>
    <t>工程总投资（扣除甲供、设计费及报价下浮，以及执行3%简易税部分）余下部分按税率10%计取，扣除税金1%（11%-10%）</t>
  </si>
  <si>
    <t>税率10%已缴纳53.24万元，税率3%已缴纳20万元（其中10万元为甲供管材管件），共计缴纳73.24万元</t>
  </si>
  <si>
    <t>竞争性谈判报价下浮1.99%</t>
  </si>
  <si>
    <t>结算总价</t>
  </si>
  <si>
    <t>竣工结算审核明细表</t>
  </si>
  <si>
    <t>编号</t>
  </si>
  <si>
    <t>设计预算价</t>
  </si>
  <si>
    <t>竣工结算价</t>
  </si>
  <si>
    <t>结算审核价</t>
  </si>
  <si>
    <t>备注</t>
  </si>
  <si>
    <t>数量</t>
  </si>
  <si>
    <t>单价(元)</t>
  </si>
  <si>
    <t>合价(元)</t>
  </si>
  <si>
    <t>相比送审结算价</t>
  </si>
  <si>
    <t>第一部分 建筑工程</t>
  </si>
  <si>
    <t>运距100m</t>
  </si>
  <si>
    <t>水泥</t>
  </si>
  <si>
    <t>t</t>
  </si>
  <si>
    <t>砂</t>
  </si>
  <si>
    <t>m3</t>
  </si>
  <si>
    <t>碎石</t>
  </si>
  <si>
    <t>页岩砖</t>
  </si>
  <si>
    <t>千匹</t>
  </si>
  <si>
    <t>钢材</t>
  </si>
  <si>
    <t>骡马运输，下坡16-30%，运距420m</t>
  </si>
  <si>
    <t>骡马运输，平地，运距120m</t>
  </si>
  <si>
    <t>骡马运输，下坡16-30%，运距560m</t>
  </si>
  <si>
    <t>签证价</t>
  </si>
  <si>
    <t>骡马运输，平地，运距310m</t>
  </si>
  <si>
    <t>安装费执行3%简易税</t>
  </si>
  <si>
    <t>执行3%简易税</t>
  </si>
  <si>
    <t>第五部分 勘察设计费</t>
  </si>
  <si>
    <t>工程量核对表</t>
  </si>
  <si>
    <t>合同
工程量</t>
  </si>
  <si>
    <t>送审
工程量</t>
  </si>
  <si>
    <t>审核
工程量</t>
  </si>
  <si>
    <t>工程量增减</t>
  </si>
  <si>
    <t>相比合同</t>
  </si>
  <si>
    <t>相比送审</t>
  </si>
  <si>
    <t>土方开挖</t>
  </si>
  <si>
    <t>石方开挖</t>
  </si>
  <si>
    <t>土方回填</t>
  </si>
  <si>
    <t>c20砼</t>
  </si>
  <si>
    <t>钢筋制安</t>
  </si>
  <si>
    <t>组价计算</t>
  </si>
  <si>
    <t>c25砼</t>
  </si>
  <si>
    <t>模板制安</t>
  </si>
  <si>
    <t>贴瓷砖</t>
  </si>
  <si>
    <t>标志牌</t>
  </si>
  <si>
    <t>单位错误</t>
  </si>
  <si>
    <t>DN40镀锌钢管</t>
  </si>
  <si>
    <t>紫外线杀毒灯</t>
  </si>
  <si>
    <t>电杆</t>
  </si>
  <si>
    <t>无变更执行原预算DN40镀锌钢管</t>
  </si>
  <si>
    <t>DN50镀锌钢管</t>
  </si>
  <si>
    <t>工程量计算稿</t>
  </si>
  <si>
    <t>计算式</t>
  </si>
  <si>
    <t>工程量</t>
  </si>
  <si>
    <t>一</t>
  </si>
  <si>
    <t>输水工程</t>
  </si>
  <si>
    <t>C20砼镇支墩</t>
  </si>
  <si>
    <t>个</t>
  </si>
  <si>
    <t>二</t>
  </si>
  <si>
    <t>水厂工程</t>
  </si>
  <si>
    <t>（一）</t>
  </si>
  <si>
    <t>闸阀井</t>
  </si>
  <si>
    <t>2*1*0.8+2*1*0.8</t>
  </si>
  <si>
    <t>M7.5浆砌页岩砖</t>
  </si>
  <si>
    <t>（1.2+0.6-0.24）*2*0.76*0.115+（1.3+0.72-0.24）*2*0.63*0.115</t>
  </si>
  <si>
    <t>预制盖板C20砼</t>
  </si>
  <si>
    <t>1.2*0.6*0.04+0.72*1.3*0.06</t>
  </si>
  <si>
    <t>盖板钢筋制安</t>
  </si>
  <si>
    <t>（8*0.54+4*1.14）*0.617/1000+（9*0.66+5*1.24）*0.617/1000</t>
  </si>
  <si>
    <t>M10砂浆抹面</t>
  </si>
  <si>
    <t>m2</t>
  </si>
  <si>
    <t>（1.2+0.6）*2*0.76+（1.3+0.72）*2*0.63</t>
  </si>
  <si>
    <t>人力二次转运材料（500元/t/km,运距0.1km）</t>
  </si>
  <si>
    <t>（二）</t>
  </si>
  <si>
    <t>新建80方清水池</t>
  </si>
  <si>
    <t>座</t>
  </si>
  <si>
    <t>(3.14*2.24^2+3.14*3.77^2)/2*1.87*0.7</t>
  </si>
  <si>
    <t>(3.14*2.24^2+3.14*3.77^2)/2*1.87*0.3</t>
  </si>
  <si>
    <t>(3.14*2.24^2+3.14*3.77^2)/2*1.87-3.14*2.24^2*1.87</t>
  </si>
  <si>
    <t>30cm厚覆土</t>
  </si>
  <si>
    <t>3.14*2.15^2*0.2</t>
  </si>
  <si>
    <t>C25混凝土浇筑</t>
  </si>
  <si>
    <t>蓄水池</t>
  </si>
  <si>
    <t>3.14*2.27^2*(0.2+0.15)</t>
  </si>
  <si>
    <t>水沟</t>
  </si>
  <si>
    <t>19*0.75*0.1</t>
  </si>
  <si>
    <t>集水井</t>
  </si>
  <si>
    <t>1.5*1.4*0.2+1.23*1.27*0.06</t>
  </si>
  <si>
    <t>过滤池</t>
  </si>
  <si>
    <t>1.25*1.25*0.06*2+1.35*1.83*0.2</t>
  </si>
  <si>
    <t>3.14*4.54*0.15+3.14*2.03^2</t>
  </si>
  <si>
    <t>215.85*2*0.618*2/1000</t>
  </si>
  <si>
    <t>3.14*4.06*(2.24+0.2+0.12)+3.14*4.54*(2.24+0.2)</t>
  </si>
  <si>
    <t>19*（（0.35+0.42+0.38+0.46+0.32）/5+0.24）</t>
  </si>
  <si>
    <t>（1.5+1.4）*2*1.1</t>
  </si>
  <si>
    <t>（1.83+1.35）*2*1.2</t>
  </si>
  <si>
    <t>池壁贴瓷砖</t>
  </si>
  <si>
    <t>3.14*4.54*((0.84+1.02)/2+0.12)</t>
  </si>
  <si>
    <r>
      <rPr>
        <sz val="10"/>
        <rFont val="宋体"/>
        <charset val="134"/>
      </rPr>
      <t>（1.35+1.83）*2*（0.81+0.86）/2+</t>
    </r>
    <r>
      <rPr>
        <sz val="10"/>
        <color rgb="FFFF0000"/>
        <rFont val="宋体"/>
        <charset val="134"/>
      </rPr>
      <t>（1.41+0.705）*2*（0.81+0.86）/2*2</t>
    </r>
  </si>
  <si>
    <t>（1.02+0.92）*2*1.11</t>
  </si>
  <si>
    <t>3.14*4.3*2.25*0.24+3.14*4.42*0.2*0.115</t>
  </si>
  <si>
    <t>19*（0.35+0.42+0.38+0.46+0.32）/5*0.24</t>
  </si>
  <si>
    <t>（1.5+1.4）*2*1.1*0.24</t>
  </si>
  <si>
    <t>（1.83+1.35-0.18*2）*2*1.2*0.18</t>
  </si>
  <si>
    <t>铁梯制安</t>
  </si>
  <si>
    <t>通气、进人孔</t>
  </si>
  <si>
    <t>套</t>
  </si>
  <si>
    <t>人力二次转运材料（500元/t/km,运距0.2km）</t>
  </si>
  <si>
    <t>（三）</t>
  </si>
  <si>
    <t>新建100方清水池</t>
  </si>
  <si>
    <t>（3.14*3.8^2+3.14*5^2）/2*2.4*0.2</t>
  </si>
  <si>
    <t>（3.14*3.8^2+3.14*5^2）/2*2.4*0.8</t>
  </si>
  <si>
    <t>（3.14*3.8^2+3.14*5^2）/2*2.4-3.14*3.75^2*2.4</t>
  </si>
  <si>
    <t>3.14*3.51^2*0.3</t>
  </si>
  <si>
    <t>蓄水池盖板</t>
  </si>
  <si>
    <t>3.14*3.75^2*0.15</t>
  </si>
  <si>
    <t>蓄水池底板</t>
  </si>
  <si>
    <t>3.14*3.75^2*0.2</t>
  </si>
  <si>
    <t>蓄水池十字梁</t>
  </si>
  <si>
    <t>7.5*0.3*0.3*2-0.3*0.3*0.37</t>
  </si>
  <si>
    <t>蓄水池柱</t>
  </si>
  <si>
    <t>2.6*0.37*0.37</t>
  </si>
  <si>
    <t>过滤池底板+盖板</t>
  </si>
  <si>
    <t>2.06*1.1*0.2+1*1.08*0.04*2</t>
  </si>
  <si>
    <t>3.14*7.5*0.15+3.14*3.51^2</t>
  </si>
  <si>
    <t>7.5*0.3*3*2-0.3*0.3*4</t>
  </si>
  <si>
    <t>2.6*0.37*4</t>
  </si>
  <si>
    <t>516.76*0.618/1000*2</t>
  </si>
  <si>
    <r>
      <rPr>
        <sz val="10"/>
        <rFont val="宋体"/>
        <charset val="134"/>
      </rPr>
      <t>3.14*7.02*3.2+3.14*7.5*1+</t>
    </r>
    <r>
      <rPr>
        <sz val="10"/>
        <color rgb="FFFF0000"/>
        <rFont val="宋体"/>
        <charset val="134"/>
      </rPr>
      <t>（2.06*2+1.1*2-0.24*2）*2*0.8</t>
    </r>
  </si>
  <si>
    <r>
      <rPr>
        <sz val="10"/>
        <rFont val="宋体"/>
        <charset val="134"/>
      </rPr>
      <t>3.14*7.5*(1+0.12)+</t>
    </r>
    <r>
      <rPr>
        <sz val="10"/>
        <color rgb="FFFF0000"/>
        <rFont val="宋体"/>
        <charset val="134"/>
      </rPr>
      <t>（2.06+1.1）*2*1</t>
    </r>
  </si>
  <si>
    <r>
      <rPr>
        <sz val="10"/>
        <rFont val="宋体"/>
        <charset val="134"/>
      </rPr>
      <t>3.14*7.26*2.9*0.24+3.14*7.38*0.3*0.115+</t>
    </r>
    <r>
      <rPr>
        <sz val="10"/>
        <color rgb="FFFF0000"/>
        <rFont val="宋体"/>
        <charset val="134"/>
      </rPr>
      <t>（2.06+1.1-0.24*2）*2*0.8*0.24+0.62*0.8*0.06</t>
    </r>
  </si>
  <si>
    <t>蓄水池+过滤池</t>
  </si>
  <si>
    <t>（四）</t>
  </si>
  <si>
    <t>硬化带</t>
  </si>
  <si>
    <t>m</t>
  </si>
  <si>
    <t>5cm厚砂石垫层</t>
  </si>
  <si>
    <r>
      <rPr>
        <sz val="10"/>
        <rFont val="宋体"/>
        <charset val="134"/>
      </rPr>
      <t>（10*9.9-3.14*3.75^2）*0.05+</t>
    </r>
    <r>
      <rPr>
        <sz val="10"/>
        <color rgb="FFFF0000"/>
        <rFont val="宋体"/>
        <charset val="134"/>
      </rPr>
      <t>（5.8*2.2+10.48*0.55+10.48*0.6+11.53*0.6）*0.05</t>
    </r>
  </si>
  <si>
    <t>厂区内+围墙外</t>
  </si>
  <si>
    <t>10cm厚C20砼硬化带</t>
  </si>
  <si>
    <r>
      <rPr>
        <sz val="10"/>
        <rFont val="宋体"/>
        <charset val="134"/>
      </rPr>
      <t>（10*9.9-3.14*3.75^2）*0.1+</t>
    </r>
    <r>
      <rPr>
        <sz val="10"/>
        <color rgb="FFFF0000"/>
        <rFont val="宋体"/>
        <charset val="134"/>
      </rPr>
      <t>（5.8*2.2+10.48*0.55+10.48*0.6+11.53*0.6）*0.1</t>
    </r>
  </si>
  <si>
    <t>（五）</t>
  </si>
  <si>
    <t>4社机压井</t>
  </si>
  <si>
    <t>项</t>
  </si>
  <si>
    <t>（六）</t>
  </si>
  <si>
    <t>绿化种草</t>
  </si>
  <si>
    <t>3.14*3.63^2</t>
  </si>
  <si>
    <t>（七）</t>
  </si>
  <si>
    <t>围墙</t>
  </si>
  <si>
    <r>
      <rPr>
        <sz val="10"/>
        <rFont val="宋体"/>
        <charset val="134"/>
      </rPr>
      <t>（（10.48+9.9）*2-2）*0.3*0.3+</t>
    </r>
    <r>
      <rPr>
        <sz val="10"/>
        <color rgb="FFFF0000"/>
        <rFont val="宋体"/>
        <charset val="134"/>
      </rPr>
      <t>（（10.48+9.9）*2-2）*0.24*0.24*0</t>
    </r>
  </si>
  <si>
    <t>M7.5浆砌页岩砖(墙体)</t>
  </si>
  <si>
    <t>（（10.48+9.9）*2-2-1）*（1.5+0.22）*0.24+0.24*0.115*1.5*4+0.5*0.5*2.42*2</t>
  </si>
  <si>
    <t>C25混凝土浇筑（基础高0.3m，宽0.3m）</t>
  </si>
  <si>
    <t>（38.76*4+258*1.2）*0.395/1000</t>
  </si>
  <si>
    <t>围墙双面贴瓷砖</t>
  </si>
  <si>
    <t>（（10+9.9）*2-2-1）*（1.5+0.1+0.24）+（（10.48+10.38）*2-2-1）*（1.5+0.1+0.24）+0.5*2.42*4*2-1.5*0.24*2+0.24*1.5*2*4</t>
  </si>
  <si>
    <t>（八）</t>
  </si>
  <si>
    <t>不锈钢大门</t>
  </si>
  <si>
    <t>（九）</t>
  </si>
  <si>
    <t>厂牌 安全饮水标志牌 简介牌</t>
  </si>
  <si>
    <t>三</t>
  </si>
  <si>
    <t>新增两个三米内径水池及附属工程</t>
  </si>
  <si>
    <t>2*1*0.3</t>
  </si>
  <si>
    <t>2*1*0.5</t>
  </si>
  <si>
    <t>（1.25+0.59）*2*0.7*0.115</t>
  </si>
  <si>
    <t>1.25*0.83*0.05</t>
  </si>
  <si>
    <t>（1.25+0.83+1.01+0.59）*2*0.7</t>
  </si>
  <si>
    <t>新建30方清水池</t>
  </si>
  <si>
    <t>需加过滤池</t>
  </si>
  <si>
    <t>（3.14*2^2+3.14*3^2）/2*2.1*0.2</t>
  </si>
  <si>
    <t>（3.14*2^2+3.14*3^2）/2*2.1*0.8</t>
  </si>
  <si>
    <t>（3.14*2^2+3.14*3^2）/2*2.1-3.14*1.9^2*1.9</t>
  </si>
  <si>
    <t>3.14*1.78^2*0.2</t>
  </si>
  <si>
    <t>3.14*1.9^2*(0.2+0.15)</t>
  </si>
  <si>
    <t>3.14*1.9^2</t>
  </si>
  <si>
    <t>151.18*0.617*2/1000*2</t>
  </si>
  <si>
    <t>3.14*3.32*2.45+3.14*3.8*0.8</t>
  </si>
  <si>
    <r>
      <rPr>
        <sz val="10"/>
        <color rgb="FFFF0000"/>
        <rFont val="宋体"/>
        <charset val="134"/>
      </rPr>
      <t>3.14*3.32*2.45*0</t>
    </r>
    <r>
      <rPr>
        <sz val="10"/>
        <rFont val="宋体"/>
        <charset val="134"/>
      </rPr>
      <t>+3.14*3.8*0.8</t>
    </r>
  </si>
  <si>
    <t>3.14*3.56*2.45*0.24+3.14*3.68*0.2*0.115</t>
  </si>
  <si>
    <t>增</t>
  </si>
  <si>
    <t>不锈钢栏杆</t>
  </si>
  <si>
    <t>h=1.15</t>
  </si>
  <si>
    <t>四</t>
  </si>
  <si>
    <t>新增泵房</t>
  </si>
  <si>
    <t>6*5*0.7</t>
  </si>
  <si>
    <t>3.1*2.1*0.5</t>
  </si>
  <si>
    <t>基础</t>
  </si>
  <si>
    <t>（4.57+3.44-0.6*2）*0.6*0.3</t>
  </si>
  <si>
    <t>地圈梁</t>
  </si>
  <si>
    <t>（4.57+3.44-0.3*2）*2*0.3*0.3</t>
  </si>
  <si>
    <t>底板</t>
  </si>
  <si>
    <t>4.09*2.96*0.1</t>
  </si>
  <si>
    <t>盖板</t>
  </si>
  <si>
    <t>5.17*4.04*（0.075+0.08）/2</t>
  </si>
  <si>
    <t>外硬化</t>
  </si>
  <si>
    <t>（（3.44+0.42+0.45）*（0.68+0.44）+4.57*（0.42+0.48））*0.1</t>
  </si>
  <si>
    <t>（4.57+3.44-0.24*2）*2*2*0.24-0.9*2*0.24-1*0.75*0.24</t>
  </si>
  <si>
    <t>（4.57+3.44+4.09+2.96）*2*2-2*0.9*2-1*0.75*2</t>
  </si>
  <si>
    <t>塑钢玻璃窗</t>
  </si>
  <si>
    <t>1*0.75</t>
  </si>
  <si>
    <t>（34*3.98+27*5.11）*0.617/1000+（（4.57+3.44）*2*4*2*1.21+1.2*80）/1000</t>
  </si>
  <si>
    <t>5.17*4.04-（4.57+3.44-0.24*2）*2*0.24+（5.17+4.04）*2*（0.075+0.08）/2+（4.57+3.44-0.3*2）*2*0.3*2</t>
  </si>
  <si>
    <t>防盗门</t>
  </si>
  <si>
    <t>五</t>
  </si>
  <si>
    <t>配水工程</t>
  </si>
  <si>
    <t>公路混凝土破碎</t>
  </si>
  <si>
    <t>C25砼路面恢复</t>
  </si>
  <si>
    <t>新增</t>
  </si>
  <si>
    <t>沟槽开挖、回填</t>
  </si>
  <si>
    <t>土方沟槽开挖、回填</t>
  </si>
  <si>
    <t>石方沟槽开挖、回填</t>
  </si>
  <si>
    <r>
      <rPr>
        <sz val="10"/>
        <rFont val="宋体"/>
        <charset val="134"/>
      </rPr>
      <t>9466</t>
    </r>
    <r>
      <rPr>
        <sz val="10"/>
        <color rgb="FFFF0000"/>
        <rFont val="宋体"/>
        <charset val="134"/>
      </rPr>
      <t>*0.7</t>
    </r>
    <r>
      <rPr>
        <sz val="10"/>
        <rFont val="宋体"/>
        <charset val="134"/>
      </rPr>
      <t>*0.6*0.5+9466</t>
    </r>
    <r>
      <rPr>
        <sz val="10"/>
        <color rgb="FFFF0000"/>
        <rFont val="宋体"/>
        <charset val="134"/>
      </rPr>
      <t>*0.3</t>
    </r>
    <r>
      <rPr>
        <sz val="10"/>
        <rFont val="宋体"/>
        <charset val="134"/>
      </rPr>
      <t>*0.6*0.3</t>
    </r>
  </si>
  <si>
    <t>耕地0.7非耕地0.3</t>
  </si>
  <si>
    <t>3930*0.5*0.3</t>
  </si>
  <si>
    <r>
      <rPr>
        <sz val="10"/>
        <color rgb="FFFF0000"/>
        <rFont val="宋体"/>
        <charset val="134"/>
      </rPr>
      <t>2499.02</t>
    </r>
    <r>
      <rPr>
        <sz val="10"/>
        <rFont val="宋体"/>
        <charset val="134"/>
      </rPr>
      <t>+589.5-13396*3.14*0.0315^2</t>
    </r>
  </si>
  <si>
    <t>第二部分 机电设备安装工程</t>
  </si>
  <si>
    <t>新增泵房及附属设备</t>
  </si>
  <si>
    <t>DN40热镀锌钢管壁厚3.5</t>
  </si>
  <si>
    <t>离心泵及电机，启动柜等</t>
  </si>
  <si>
    <t>新增两口池子的紫外线杀毒灯</t>
  </si>
  <si>
    <t>220V供电线路</t>
  </si>
  <si>
    <t>380V供电线路</t>
  </si>
  <si>
    <t>电杆架设</t>
  </si>
  <si>
    <t>根</t>
  </si>
  <si>
    <t xml:space="preserve">二 </t>
  </si>
  <si>
    <t>DN50热镀锌钢管壁厚3.5</t>
  </si>
  <si>
    <t>下村主管高压闸阀、高压水表</t>
  </si>
  <si>
    <t>减压阀</t>
  </si>
  <si>
    <t>自吸泵（潜水泵）</t>
  </si>
  <si>
    <t>台</t>
  </si>
  <si>
    <t>净水工程</t>
  </si>
  <si>
    <t>浮球阀</t>
  </si>
  <si>
    <t>电表</t>
  </si>
  <si>
    <t>支</t>
  </si>
  <si>
    <t>水表</t>
  </si>
  <si>
    <t>石方</t>
  </si>
  <si>
    <t>土方</t>
  </si>
  <si>
    <t>dn63（1.6MPa壁厚5.8）PE管</t>
  </si>
  <si>
    <t>dn50（1.6MPa壁厚4.6）PE管</t>
  </si>
  <si>
    <t>dn40（1.6MPa壁厚3.7）PE管</t>
  </si>
  <si>
    <t>dn32（1.6MPa壁厚3.0）PE管</t>
  </si>
  <si>
    <t>dn25（1.6MPa壁厚2.3）PE管</t>
  </si>
  <si>
    <t>dn20（1.6MPa壁厚2.3）PE管</t>
  </si>
  <si>
    <t>各类管件</t>
  </si>
  <si>
    <t>元</t>
  </si>
  <si>
    <t>四社增加工程</t>
  </si>
  <si>
    <t>7m3不锈钢桶</t>
  </si>
  <si>
    <t>只</t>
  </si>
  <si>
    <t>增压泵</t>
  </si>
  <si>
    <t>材料耗量分析表</t>
  </si>
  <si>
    <t>分项名称</t>
  </si>
  <si>
    <t>每单位工程量耗量</t>
  </si>
  <si>
    <t>总耗量</t>
  </si>
  <si>
    <t>汇总</t>
  </si>
  <si>
    <t>水泥（kg）</t>
  </si>
  <si>
    <t>砂（m3）</t>
  </si>
  <si>
    <t>碎石（m3）</t>
  </si>
  <si>
    <t>页岩砖  （千匹）</t>
  </si>
  <si>
    <t>块石（m3）</t>
  </si>
  <si>
    <t>水泥（t）</t>
  </si>
  <si>
    <t>C20砼</t>
  </si>
  <si>
    <t>C25砼</t>
  </si>
  <si>
    <t>M7.5浆砌石</t>
  </si>
  <si>
    <t>墙面瓷砖粘贴</t>
  </si>
  <si>
    <t>100mm厚C20硬化带</t>
  </si>
  <si>
    <t>砂垫层</t>
  </si>
  <si>
    <t>C15垫层（二级配 32.5）</t>
  </si>
  <si>
    <t>合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</si>
</sst>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  <numFmt numFmtId="178" formatCode="0.000_);[Red]\(0.000\)"/>
    <numFmt numFmtId="179" formatCode="0.00_ ;[Red]\-0.00\ "/>
    <numFmt numFmtId="180" formatCode="0.000_ ;[Red]\-0.000\ "/>
    <numFmt numFmtId="181" formatCode="0_ "/>
    <numFmt numFmtId="182" formatCode="0.0000_ "/>
    <numFmt numFmtId="183" formatCode="0.00_);[Red]\(0.00\)"/>
    <numFmt numFmtId="184" formatCode="0.00000_ "/>
    <numFmt numFmtId="185" formatCode="0.0_ "/>
    <numFmt numFmtId="186" formatCode="0_);[Red]\(0\)"/>
    <numFmt numFmtId="187" formatCode="[DBNum2][$RMB]General;[Red][DBNum2][$RMB]General"/>
  </numFmts>
  <fonts count="90">
    <font>
      <sz val="11"/>
      <color theme="1"/>
      <name val="宋体"/>
      <charset val="134"/>
      <scheme val="minor"/>
    </font>
    <font>
      <sz val="12"/>
      <name val="仿宋"/>
      <charset val="134"/>
    </font>
    <font>
      <sz val="11"/>
      <color theme="1"/>
      <name val="仿宋"/>
      <charset val="134"/>
    </font>
    <font>
      <b/>
      <sz val="16"/>
      <name val="仿宋"/>
      <charset val="134"/>
    </font>
    <font>
      <b/>
      <sz val="9"/>
      <name val="仿宋"/>
      <charset val="134"/>
    </font>
    <font>
      <sz val="9"/>
      <name val="仿宋"/>
      <charset val="134"/>
    </font>
    <font>
      <b/>
      <sz val="9"/>
      <color theme="1"/>
      <name val="仿宋"/>
      <charset val="134"/>
    </font>
    <font>
      <sz val="9"/>
      <color theme="1"/>
      <name val="仿宋"/>
      <charset val="134"/>
    </font>
    <font>
      <sz val="9"/>
      <color rgb="FFFF0000"/>
      <name val="仿宋"/>
      <charset val="134"/>
    </font>
    <font>
      <sz val="10"/>
      <color theme="1"/>
      <name val="仿宋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</font>
    <font>
      <sz val="16"/>
      <name val="宋体"/>
      <charset val="134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b/>
      <sz val="9"/>
      <color indexed="8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color rgb="FFFF0000"/>
      <name val="宋体"/>
      <charset val="134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4"/>
      <color rgb="FF000000"/>
      <name val="宋体"/>
      <charset val="134"/>
    </font>
    <font>
      <b/>
      <sz val="14"/>
      <color indexed="8"/>
      <name val="宋体"/>
      <charset val="134"/>
    </font>
    <font>
      <b/>
      <sz val="14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theme="1"/>
      <name val="宋体"/>
      <charset val="134"/>
    </font>
    <font>
      <b/>
      <sz val="7.5"/>
      <color theme="1"/>
      <name val="宋体"/>
      <charset val="134"/>
    </font>
    <font>
      <b/>
      <sz val="8"/>
      <color indexed="8"/>
      <name val="宋体"/>
      <charset val="134"/>
    </font>
    <font>
      <sz val="8"/>
      <color indexed="8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7.5"/>
      <color indexed="8"/>
      <name val="宋体"/>
      <charset val="134"/>
    </font>
    <font>
      <b/>
      <sz val="20"/>
      <color rgb="FF000000"/>
      <name val="宋体"/>
      <charset val="134"/>
    </font>
    <font>
      <b/>
      <sz val="20"/>
      <color indexed="8"/>
      <name val="宋体"/>
      <charset val="134"/>
    </font>
    <font>
      <b/>
      <sz val="10"/>
      <color rgb="FF000000"/>
      <name val="宋体"/>
      <charset val="134"/>
    </font>
    <font>
      <b/>
      <sz val="20"/>
      <color theme="1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b/>
      <sz val="18"/>
      <color indexed="8"/>
      <name val="宋体"/>
      <charset val="134"/>
    </font>
    <font>
      <b/>
      <sz val="18"/>
      <name val="宋体"/>
      <charset val="134"/>
    </font>
    <font>
      <sz val="9"/>
      <name val="宋体"/>
      <charset val="134"/>
      <scheme val="minor"/>
    </font>
    <font>
      <b/>
      <sz val="10"/>
      <name val="宋体"/>
      <charset val="134"/>
      <scheme val="minor"/>
    </font>
    <font>
      <b/>
      <sz val="9"/>
      <name val="宋体"/>
      <charset val="134"/>
      <scheme val="minor"/>
    </font>
    <font>
      <b/>
      <sz val="8"/>
      <name val="宋体"/>
      <charset val="134"/>
      <scheme val="minor"/>
    </font>
    <font>
      <sz val="12"/>
      <color indexed="8"/>
      <name val="仿宋_GB2312"/>
      <charset val="134"/>
    </font>
    <font>
      <sz val="22"/>
      <color indexed="0"/>
      <name val="宋体"/>
      <charset val="134"/>
    </font>
    <font>
      <b/>
      <sz val="16"/>
      <color indexed="0"/>
      <name val="宋体"/>
      <charset val="134"/>
    </font>
    <font>
      <b/>
      <sz val="20"/>
      <color indexed="0"/>
      <name val="宋体"/>
      <charset val="134"/>
    </font>
    <font>
      <sz val="12"/>
      <color rgb="FF000000"/>
      <name val="仿宋_GB2312"/>
      <charset val="134"/>
    </font>
    <font>
      <sz val="12"/>
      <color indexed="0"/>
      <name val="仿宋_GB2312"/>
      <charset val="134"/>
    </font>
    <font>
      <sz val="12"/>
      <name val="仿宋_GB2312"/>
      <charset val="134"/>
    </font>
    <font>
      <sz val="12"/>
      <color indexed="0"/>
      <name val="宋体"/>
      <charset val="134"/>
    </font>
    <font>
      <sz val="11"/>
      <color indexed="0"/>
      <name val="宋体"/>
      <charset val="134"/>
    </font>
    <font>
      <sz val="12"/>
      <color rgb="FFFF0000"/>
      <name val="仿宋_GB2312"/>
      <charset val="134"/>
    </font>
    <font>
      <b/>
      <sz val="14"/>
      <color indexed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7">
    <fill>
      <patternFill patternType="none"/>
    </fill>
    <fill>
      <patternFill patternType="gray125"/>
    </fill>
    <fill>
      <patternFill patternType="solid">
        <fgColor theme="4" tint="0.4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0" fillId="6" borderId="26" applyNumberFormat="0" applyFont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4" fillId="0" borderId="27" applyNumberFormat="0" applyFill="0" applyAlignment="0" applyProtection="0">
      <alignment vertical="center"/>
    </xf>
    <xf numFmtId="0" fontId="75" fillId="0" borderId="27" applyNumberFormat="0" applyFill="0" applyAlignment="0" applyProtection="0">
      <alignment vertical="center"/>
    </xf>
    <xf numFmtId="0" fontId="76" fillId="0" borderId="28" applyNumberFormat="0" applyFill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7" fillId="7" borderId="29" applyNumberFormat="0" applyAlignment="0" applyProtection="0">
      <alignment vertical="center"/>
    </xf>
    <xf numFmtId="0" fontId="78" fillId="8" borderId="30" applyNumberFormat="0" applyAlignment="0" applyProtection="0">
      <alignment vertical="center"/>
    </xf>
    <xf numFmtId="0" fontId="79" fillId="8" borderId="29" applyNumberFormat="0" applyAlignment="0" applyProtection="0">
      <alignment vertical="center"/>
    </xf>
    <xf numFmtId="0" fontId="80" fillId="9" borderId="31" applyNumberFormat="0" applyAlignment="0" applyProtection="0">
      <alignment vertical="center"/>
    </xf>
    <xf numFmtId="0" fontId="81" fillId="0" borderId="32" applyNumberFormat="0" applyFill="0" applyAlignment="0" applyProtection="0">
      <alignment vertical="center"/>
    </xf>
    <xf numFmtId="0" fontId="82" fillId="0" borderId="33" applyNumberFormat="0" applyFill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4" fillId="11" borderId="0" applyNumberFormat="0" applyBorder="0" applyAlignment="0" applyProtection="0">
      <alignment vertical="center"/>
    </xf>
    <xf numFmtId="0" fontId="85" fillId="12" borderId="0" applyNumberFormat="0" applyBorder="0" applyAlignment="0" applyProtection="0">
      <alignment vertical="center"/>
    </xf>
    <xf numFmtId="0" fontId="86" fillId="13" borderId="0" applyNumberFormat="0" applyBorder="0" applyAlignment="0" applyProtection="0">
      <alignment vertical="center"/>
    </xf>
    <xf numFmtId="0" fontId="87" fillId="14" borderId="0" applyNumberFormat="0" applyBorder="0" applyAlignment="0" applyProtection="0">
      <alignment vertical="center"/>
    </xf>
    <xf numFmtId="0" fontId="87" fillId="15" borderId="0" applyNumberFormat="0" applyBorder="0" applyAlignment="0" applyProtection="0">
      <alignment vertical="center"/>
    </xf>
    <xf numFmtId="0" fontId="86" fillId="16" borderId="0" applyNumberFormat="0" applyBorder="0" applyAlignment="0" applyProtection="0">
      <alignment vertical="center"/>
    </xf>
    <xf numFmtId="0" fontId="86" fillId="17" borderId="0" applyNumberFormat="0" applyBorder="0" applyAlignment="0" applyProtection="0">
      <alignment vertical="center"/>
    </xf>
    <xf numFmtId="0" fontId="87" fillId="18" borderId="0" applyNumberFormat="0" applyBorder="0" applyAlignment="0" applyProtection="0">
      <alignment vertical="center"/>
    </xf>
    <xf numFmtId="0" fontId="87" fillId="19" borderId="0" applyNumberFormat="0" applyBorder="0" applyAlignment="0" applyProtection="0">
      <alignment vertical="center"/>
    </xf>
    <xf numFmtId="0" fontId="86" fillId="20" borderId="0" applyNumberFormat="0" applyBorder="0" applyAlignment="0" applyProtection="0">
      <alignment vertical="center"/>
    </xf>
    <xf numFmtId="0" fontId="86" fillId="21" borderId="0" applyNumberFormat="0" applyBorder="0" applyAlignment="0" applyProtection="0">
      <alignment vertical="center"/>
    </xf>
    <xf numFmtId="0" fontId="87" fillId="22" borderId="0" applyNumberFormat="0" applyBorder="0" applyAlignment="0" applyProtection="0">
      <alignment vertical="center"/>
    </xf>
    <xf numFmtId="0" fontId="87" fillId="23" borderId="0" applyNumberFormat="0" applyBorder="0" applyAlignment="0" applyProtection="0">
      <alignment vertical="center"/>
    </xf>
    <xf numFmtId="0" fontId="86" fillId="24" borderId="0" applyNumberFormat="0" applyBorder="0" applyAlignment="0" applyProtection="0">
      <alignment vertical="center"/>
    </xf>
    <xf numFmtId="0" fontId="86" fillId="25" borderId="0" applyNumberFormat="0" applyBorder="0" applyAlignment="0" applyProtection="0">
      <alignment vertical="center"/>
    </xf>
    <xf numFmtId="0" fontId="87" fillId="26" borderId="0" applyNumberFormat="0" applyBorder="0" applyAlignment="0" applyProtection="0">
      <alignment vertical="center"/>
    </xf>
    <xf numFmtId="0" fontId="87" fillId="27" borderId="0" applyNumberFormat="0" applyBorder="0" applyAlignment="0" applyProtection="0">
      <alignment vertical="center"/>
    </xf>
    <xf numFmtId="0" fontId="86" fillId="28" borderId="0" applyNumberFormat="0" applyBorder="0" applyAlignment="0" applyProtection="0">
      <alignment vertical="center"/>
    </xf>
    <xf numFmtId="0" fontId="86" fillId="29" borderId="0" applyNumberFormat="0" applyBorder="0" applyAlignment="0" applyProtection="0">
      <alignment vertical="center"/>
    </xf>
    <xf numFmtId="0" fontId="87" fillId="30" borderId="0" applyNumberFormat="0" applyBorder="0" applyAlignment="0" applyProtection="0">
      <alignment vertical="center"/>
    </xf>
    <xf numFmtId="0" fontId="87" fillId="31" borderId="0" applyNumberFormat="0" applyBorder="0" applyAlignment="0" applyProtection="0">
      <alignment vertical="center"/>
    </xf>
    <xf numFmtId="0" fontId="86" fillId="32" borderId="0" applyNumberFormat="0" applyBorder="0" applyAlignment="0" applyProtection="0">
      <alignment vertical="center"/>
    </xf>
    <xf numFmtId="0" fontId="86" fillId="33" borderId="0" applyNumberFormat="0" applyBorder="0" applyAlignment="0" applyProtection="0">
      <alignment vertical="center"/>
    </xf>
    <xf numFmtId="0" fontId="87" fillId="34" borderId="0" applyNumberFormat="0" applyBorder="0" applyAlignment="0" applyProtection="0">
      <alignment vertical="center"/>
    </xf>
    <xf numFmtId="0" fontId="87" fillId="35" borderId="0" applyNumberFormat="0" applyBorder="0" applyAlignment="0" applyProtection="0">
      <alignment vertical="center"/>
    </xf>
    <xf numFmtId="0" fontId="86" fillId="36" borderId="0" applyNumberFormat="0" applyBorder="0" applyAlignment="0" applyProtection="0">
      <alignment vertical="center"/>
    </xf>
    <xf numFmtId="0" fontId="88" fillId="0" borderId="0"/>
    <xf numFmtId="0" fontId="88" fillId="0" borderId="0">
      <alignment vertical="center"/>
    </xf>
    <xf numFmtId="0" fontId="89" fillId="0" borderId="0"/>
    <xf numFmtId="0" fontId="88" fillId="0" borderId="0"/>
    <xf numFmtId="0" fontId="30" fillId="0" borderId="0"/>
  </cellStyleXfs>
  <cellXfs count="379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right" vertical="center"/>
    </xf>
    <xf numFmtId="176" fontId="5" fillId="0" borderId="6" xfId="0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/>
    <xf numFmtId="0" fontId="4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176" fontId="7" fillId="0" borderId="14" xfId="0" applyNumberFormat="1" applyFont="1" applyFill="1" applyBorder="1" applyAlignment="1">
      <alignment horizontal="right" vertical="center"/>
    </xf>
    <xf numFmtId="177" fontId="7" fillId="0" borderId="5" xfId="0" applyNumberFormat="1" applyFont="1" applyFill="1" applyBorder="1" applyAlignment="1">
      <alignment horizontal="right" vertical="center"/>
    </xf>
    <xf numFmtId="177" fontId="7" fillId="0" borderId="6" xfId="0" applyNumberFormat="1" applyFont="1" applyFill="1" applyBorder="1" applyAlignment="1">
      <alignment vertical="center"/>
    </xf>
    <xf numFmtId="177" fontId="7" fillId="0" borderId="14" xfId="0" applyNumberFormat="1" applyFont="1" applyFill="1" applyBorder="1" applyAlignment="1">
      <alignment vertical="center"/>
    </xf>
    <xf numFmtId="176" fontId="5" fillId="0" borderId="14" xfId="0" applyNumberFormat="1" applyFont="1" applyFill="1" applyBorder="1" applyAlignment="1">
      <alignment horizontal="right" vertical="center"/>
    </xf>
    <xf numFmtId="176" fontId="5" fillId="0" borderId="6" xfId="0" applyNumberFormat="1" applyFont="1" applyFill="1" applyBorder="1" applyAlignment="1">
      <alignment vertical="center"/>
    </xf>
    <xf numFmtId="176" fontId="5" fillId="0" borderId="14" xfId="0" applyNumberFormat="1" applyFont="1" applyFill="1" applyBorder="1" applyAlignment="1">
      <alignment vertical="center"/>
    </xf>
    <xf numFmtId="0" fontId="4" fillId="0" borderId="15" xfId="0" applyFont="1" applyFill="1" applyBorder="1" applyAlignment="1">
      <alignment vertical="center" wrapText="1"/>
    </xf>
    <xf numFmtId="177" fontId="5" fillId="0" borderId="7" xfId="0" applyNumberFormat="1" applyFont="1" applyFill="1" applyBorder="1" applyAlignment="1">
      <alignment horizontal="center" vertical="center"/>
    </xf>
    <xf numFmtId="177" fontId="5" fillId="0" borderId="8" xfId="0" applyNumberFormat="1" applyFont="1" applyFill="1" applyBorder="1" applyAlignment="1">
      <alignment vertical="center"/>
    </xf>
    <xf numFmtId="176" fontId="5" fillId="0" borderId="15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77" fontId="7" fillId="0" borderId="17" xfId="0" applyNumberFormat="1" applyFont="1" applyFill="1" applyBorder="1" applyAlignment="1">
      <alignment vertical="center"/>
    </xf>
    <xf numFmtId="176" fontId="5" fillId="0" borderId="17" xfId="0" applyNumberFormat="1" applyFont="1" applyFill="1" applyBorder="1" applyAlignment="1">
      <alignment vertical="center"/>
    </xf>
    <xf numFmtId="177" fontId="5" fillId="0" borderId="18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center"/>
    </xf>
    <xf numFmtId="0" fontId="9" fillId="0" borderId="19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/>
    <xf numFmtId="177" fontId="5" fillId="0" borderId="15" xfId="0" applyNumberFormat="1" applyFont="1" applyFill="1" applyBorder="1" applyAlignme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1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5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right" vertical="center" wrapText="1"/>
    </xf>
    <xf numFmtId="178" fontId="16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right" vertical="center" wrapText="1"/>
    </xf>
    <xf numFmtId="0" fontId="19" fillId="0" borderId="20" xfId="0" applyFont="1" applyFill="1" applyBorder="1" applyAlignment="1" applyProtection="1">
      <alignment horizontal="center" vertical="center" wrapText="1"/>
    </xf>
    <xf numFmtId="0" fontId="20" fillId="0" borderId="20" xfId="0" applyFont="1" applyFill="1" applyBorder="1" applyAlignment="1" applyProtection="1">
      <alignment horizontal="center" vertical="center" wrapText="1"/>
    </xf>
    <xf numFmtId="0" fontId="21" fillId="0" borderId="20" xfId="0" applyFont="1" applyFill="1" applyBorder="1" applyAlignment="1" applyProtection="1">
      <alignment horizontal="center" vertical="center" wrapText="1"/>
    </xf>
    <xf numFmtId="177" fontId="22" fillId="0" borderId="6" xfId="0" applyNumberFormat="1" applyFont="1" applyFill="1" applyBorder="1" applyAlignment="1">
      <alignment horizontal="center" vertical="center" wrapText="1"/>
    </xf>
    <xf numFmtId="177" fontId="23" fillId="0" borderId="6" xfId="0" applyNumberFormat="1" applyFont="1" applyFill="1" applyBorder="1" applyAlignment="1">
      <alignment horizontal="center" vertical="center" wrapText="1"/>
    </xf>
    <xf numFmtId="178" fontId="23" fillId="0" borderId="6" xfId="0" applyNumberFormat="1" applyFont="1" applyFill="1" applyBorder="1" applyAlignment="1">
      <alignment horizontal="center" vertical="center" wrapText="1"/>
    </xf>
    <xf numFmtId="0" fontId="20" fillId="2" borderId="20" xfId="0" applyFont="1" applyFill="1" applyBorder="1" applyAlignment="1" applyProtection="1">
      <alignment horizontal="center" vertical="center" wrapText="1"/>
    </xf>
    <xf numFmtId="0" fontId="20" fillId="2" borderId="20" xfId="0" applyFont="1" applyFill="1" applyBorder="1" applyAlignment="1" applyProtection="1">
      <alignment horizontal="left" vertical="center" wrapText="1"/>
    </xf>
    <xf numFmtId="0" fontId="21" fillId="2" borderId="20" xfId="0" applyFont="1" applyFill="1" applyBorder="1" applyAlignment="1" applyProtection="1">
      <alignment horizontal="center" vertical="center" wrapText="1"/>
    </xf>
    <xf numFmtId="177" fontId="22" fillId="2" borderId="6" xfId="0" applyNumberFormat="1" applyFont="1" applyFill="1" applyBorder="1" applyAlignment="1">
      <alignment horizontal="left" vertical="center" wrapText="1"/>
    </xf>
    <xf numFmtId="177" fontId="23" fillId="2" borderId="6" xfId="0" applyNumberFormat="1" applyFont="1" applyFill="1" applyBorder="1" applyAlignment="1">
      <alignment vertical="center"/>
    </xf>
    <xf numFmtId="178" fontId="23" fillId="2" borderId="6" xfId="0" applyNumberFormat="1" applyFont="1" applyFill="1" applyBorder="1" applyAlignment="1">
      <alignment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24" fillId="0" borderId="20" xfId="0" applyFont="1" applyFill="1" applyBorder="1" applyAlignment="1" applyProtection="1">
      <alignment horizontal="center" vertical="center" wrapText="1"/>
    </xf>
    <xf numFmtId="177" fontId="25" fillId="0" borderId="6" xfId="0" applyNumberFormat="1" applyFont="1" applyFill="1" applyBorder="1" applyAlignment="1">
      <alignment horizontal="left" vertical="center" wrapText="1"/>
    </xf>
    <xf numFmtId="177" fontId="26" fillId="0" borderId="6" xfId="0" applyNumberFormat="1" applyFont="1" applyFill="1" applyBorder="1" applyAlignment="1">
      <alignment vertical="center"/>
    </xf>
    <xf numFmtId="178" fontId="26" fillId="0" borderId="6" xfId="0" applyNumberFormat="1" applyFont="1" applyFill="1" applyBorder="1" applyAlignment="1">
      <alignment vertical="center" wrapText="1"/>
    </xf>
    <xf numFmtId="0" fontId="19" fillId="3" borderId="20" xfId="0" applyFont="1" applyFill="1" applyBorder="1" applyAlignment="1" applyProtection="1">
      <alignment horizontal="center" vertical="center" wrapText="1"/>
    </xf>
    <xf numFmtId="0" fontId="19" fillId="3" borderId="20" xfId="0" applyFont="1" applyFill="1" applyBorder="1" applyAlignment="1" applyProtection="1">
      <alignment horizontal="left" vertical="center" wrapText="1"/>
    </xf>
    <xf numFmtId="0" fontId="24" fillId="3" borderId="20" xfId="0" applyFont="1" applyFill="1" applyBorder="1" applyAlignment="1" applyProtection="1">
      <alignment horizontal="center" vertical="center" wrapText="1"/>
    </xf>
    <xf numFmtId="177" fontId="25" fillId="3" borderId="6" xfId="0" applyNumberFormat="1" applyFont="1" applyFill="1" applyBorder="1" applyAlignment="1">
      <alignment horizontal="left" vertical="center" wrapText="1"/>
    </xf>
    <xf numFmtId="177" fontId="26" fillId="3" borderId="6" xfId="0" applyNumberFormat="1" applyFont="1" applyFill="1" applyBorder="1" applyAlignment="1">
      <alignment vertical="center"/>
    </xf>
    <xf numFmtId="178" fontId="26" fillId="3" borderId="6" xfId="0" applyNumberFormat="1" applyFont="1" applyFill="1" applyBorder="1" applyAlignment="1">
      <alignment vertical="center" wrapText="1"/>
    </xf>
    <xf numFmtId="178" fontId="25" fillId="0" borderId="6" xfId="0" applyNumberFormat="1" applyFont="1" applyFill="1" applyBorder="1" applyAlignment="1">
      <alignment vertical="center" wrapText="1"/>
    </xf>
    <xf numFmtId="176" fontId="26" fillId="0" borderId="6" xfId="0" applyNumberFormat="1" applyFont="1" applyFill="1" applyBorder="1" applyAlignment="1">
      <alignment vertical="center"/>
    </xf>
    <xf numFmtId="177" fontId="27" fillId="0" borderId="6" xfId="0" applyNumberFormat="1" applyFont="1" applyFill="1" applyBorder="1" applyAlignment="1">
      <alignment horizontal="left" vertical="center" wrapText="1"/>
    </xf>
    <xf numFmtId="178" fontId="28" fillId="3" borderId="6" xfId="0" applyNumberFormat="1" applyFont="1" applyFill="1" applyBorder="1" applyAlignment="1">
      <alignment vertical="center" wrapText="1"/>
    </xf>
    <xf numFmtId="178" fontId="26" fillId="0" borderId="6" xfId="0" applyNumberFormat="1" applyFont="1" applyFill="1" applyBorder="1" applyAlignment="1">
      <alignment horizontal="center" vertical="center" wrapText="1"/>
    </xf>
    <xf numFmtId="0" fontId="27" fillId="0" borderId="20" xfId="0" applyFont="1" applyFill="1" applyBorder="1" applyAlignment="1" applyProtection="1">
      <alignment horizontal="left" vertical="center" wrapText="1"/>
    </xf>
    <xf numFmtId="178" fontId="26" fillId="0" borderId="6" xfId="0" applyNumberFormat="1" applyFont="1" applyFill="1" applyBorder="1" applyAlignment="1">
      <alignment horizontal="left" vertical="center" wrapText="1"/>
    </xf>
    <xf numFmtId="0" fontId="24" fillId="0" borderId="21" xfId="0" applyFont="1" applyFill="1" applyBorder="1" applyAlignment="1" applyProtection="1">
      <alignment horizontal="center" vertical="center" wrapText="1"/>
    </xf>
    <xf numFmtId="0" fontId="15" fillId="0" borderId="6" xfId="0" applyFont="1" applyFill="1" applyBorder="1" applyAlignment="1">
      <alignment horizontal="left" vertical="center" wrapText="1"/>
    </xf>
    <xf numFmtId="176" fontId="25" fillId="0" borderId="6" xfId="0" applyNumberFormat="1" applyFont="1" applyFill="1" applyBorder="1" applyAlignment="1">
      <alignment horizontal="left" vertical="center" wrapText="1"/>
    </xf>
    <xf numFmtId="177" fontId="25" fillId="0" borderId="6" xfId="0" applyNumberFormat="1" applyFont="1" applyFill="1" applyBorder="1" applyAlignment="1">
      <alignment horizontal="justify" vertical="center" wrapText="1"/>
    </xf>
    <xf numFmtId="177" fontId="25" fillId="0" borderId="6" xfId="0" applyNumberFormat="1" applyFont="1" applyFill="1" applyBorder="1" applyAlignment="1">
      <alignment horizontal="left" vertical="center"/>
    </xf>
    <xf numFmtId="177" fontId="12" fillId="0" borderId="6" xfId="0" applyNumberFormat="1" applyFont="1" applyFill="1" applyBorder="1" applyAlignment="1">
      <alignment horizontal="left" vertical="center" wrapText="1"/>
    </xf>
    <xf numFmtId="178" fontId="27" fillId="0" borderId="6" xfId="0" applyNumberFormat="1" applyFont="1" applyFill="1" applyBorder="1" applyAlignment="1">
      <alignment vertical="center" wrapText="1"/>
    </xf>
    <xf numFmtId="177" fontId="25" fillId="4" borderId="6" xfId="0" applyNumberFormat="1" applyFont="1" applyFill="1" applyBorder="1" applyAlignment="1">
      <alignment horizontal="left" vertical="center" wrapText="1"/>
    </xf>
    <xf numFmtId="177" fontId="27" fillId="4" borderId="6" xfId="0" applyNumberFormat="1" applyFont="1" applyFill="1" applyBorder="1" applyAlignment="1">
      <alignment horizontal="left" vertical="center" wrapText="1"/>
    </xf>
    <xf numFmtId="177" fontId="23" fillId="0" borderId="6" xfId="0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 applyProtection="1">
      <alignment horizontal="left" vertical="center" wrapText="1"/>
    </xf>
    <xf numFmtId="0" fontId="24" fillId="0" borderId="19" xfId="0" applyFont="1" applyFill="1" applyBorder="1" applyAlignment="1" applyProtection="1">
      <alignment horizontal="center" vertical="center" wrapText="1"/>
    </xf>
    <xf numFmtId="0" fontId="24" fillId="0" borderId="6" xfId="0" applyFont="1" applyFill="1" applyBorder="1" applyAlignment="1" applyProtection="1">
      <alignment horizontal="center" vertical="center" wrapText="1"/>
    </xf>
    <xf numFmtId="177" fontId="0" fillId="0" borderId="0" xfId="0" applyNumberFormat="1" applyFill="1">
      <alignment vertical="center"/>
    </xf>
    <xf numFmtId="177" fontId="14" fillId="0" borderId="0" xfId="0" applyNumberFormat="1" applyFont="1" applyFill="1" applyAlignment="1">
      <alignment horizontal="center" vertical="center"/>
    </xf>
    <xf numFmtId="0" fontId="29" fillId="0" borderId="0" xfId="0" applyFont="1" applyFill="1" applyBorder="1" applyAlignment="1"/>
    <xf numFmtId="0" fontId="19" fillId="0" borderId="0" xfId="0" applyFont="1" applyFill="1" applyBorder="1" applyAlignment="1"/>
    <xf numFmtId="0" fontId="19" fillId="0" borderId="0" xfId="0" applyFont="1" applyFill="1" applyAlignment="1"/>
    <xf numFmtId="0" fontId="19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left" wrapText="1"/>
    </xf>
    <xf numFmtId="0" fontId="26" fillId="0" borderId="0" xfId="0" applyFont="1" applyFill="1" applyBorder="1" applyAlignment="1">
      <alignment horizontal="right"/>
    </xf>
    <xf numFmtId="0" fontId="26" fillId="0" borderId="0" xfId="0" applyNumberFormat="1" applyFont="1" applyFill="1" applyBorder="1" applyAlignment="1">
      <alignment horizontal="right"/>
    </xf>
    <xf numFmtId="177" fontId="26" fillId="0" borderId="0" xfId="0" applyNumberFormat="1" applyFont="1" applyFill="1" applyBorder="1" applyAlignment="1">
      <alignment horizontal="right" vertical="center"/>
    </xf>
    <xf numFmtId="179" fontId="26" fillId="0" borderId="0" xfId="0" applyNumberFormat="1" applyFont="1" applyFill="1" applyBorder="1" applyAlignment="1">
      <alignment horizontal="right"/>
    </xf>
    <xf numFmtId="178" fontId="24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right" vertical="center" wrapText="1"/>
    </xf>
    <xf numFmtId="0" fontId="34" fillId="0" borderId="0" xfId="0" applyNumberFormat="1" applyFont="1" applyFill="1" applyBorder="1" applyAlignment="1">
      <alignment horizontal="right" vertical="center" wrapText="1"/>
    </xf>
    <xf numFmtId="177" fontId="34" fillId="0" borderId="0" xfId="0" applyNumberFormat="1" applyFont="1" applyFill="1" applyBorder="1" applyAlignment="1">
      <alignment horizontal="right" vertical="center" wrapText="1"/>
    </xf>
    <xf numFmtId="0" fontId="35" fillId="0" borderId="0" xfId="0" applyFont="1" applyFill="1" applyAlignment="1">
      <alignment horizontal="left" vertical="center" wrapText="1"/>
    </xf>
    <xf numFmtId="0" fontId="35" fillId="0" borderId="0" xfId="0" applyFont="1" applyFill="1" applyAlignment="1">
      <alignment horizontal="right" vertical="center" wrapText="1"/>
    </xf>
    <xf numFmtId="49" fontId="20" fillId="0" borderId="22" xfId="0" applyNumberFormat="1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wrapText="1"/>
    </xf>
    <xf numFmtId="0" fontId="36" fillId="0" borderId="6" xfId="0" applyNumberFormat="1" applyFont="1" applyFill="1" applyBorder="1" applyAlignment="1">
      <alignment horizontal="center" vertical="center" wrapText="1"/>
    </xf>
    <xf numFmtId="177" fontId="36" fillId="0" borderId="6" xfId="0" applyNumberFormat="1" applyFont="1" applyFill="1" applyBorder="1" applyAlignment="1">
      <alignment horizontal="center" vertical="center" wrapText="1"/>
    </xf>
    <xf numFmtId="179" fontId="36" fillId="0" borderId="6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179" fontId="36" fillId="0" borderId="6" xfId="0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179" fontId="37" fillId="0" borderId="6" xfId="0" applyNumberFormat="1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 applyProtection="1">
      <alignment horizontal="left" vertical="center" wrapText="1"/>
    </xf>
    <xf numFmtId="0" fontId="20" fillId="2" borderId="6" xfId="0" applyFont="1" applyFill="1" applyBorder="1" applyAlignment="1" applyProtection="1">
      <alignment horizontal="center" vertical="center" wrapText="1"/>
    </xf>
    <xf numFmtId="0" fontId="20" fillId="2" borderId="6" xfId="0" applyFont="1" applyFill="1" applyBorder="1" applyAlignment="1">
      <alignment horizontal="center" vertical="center"/>
    </xf>
    <xf numFmtId="0" fontId="20" fillId="2" borderId="6" xfId="0" applyNumberFormat="1" applyFont="1" applyFill="1" applyBorder="1" applyAlignment="1">
      <alignment horizontal="center" vertical="center" wrapText="1"/>
    </xf>
    <xf numFmtId="177" fontId="36" fillId="2" borderId="6" xfId="0" applyNumberFormat="1" applyFont="1" applyFill="1" applyBorder="1" applyAlignment="1">
      <alignment horizontal="right" vertical="center" wrapText="1"/>
    </xf>
    <xf numFmtId="179" fontId="36" fillId="2" borderId="6" xfId="0" applyNumberFormat="1" applyFont="1" applyFill="1" applyBorder="1" applyAlignment="1">
      <alignment horizontal="right" vertical="center" wrapText="1"/>
    </xf>
    <xf numFmtId="0" fontId="39" fillId="0" borderId="6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 applyProtection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0" fontId="19" fillId="0" borderId="6" xfId="0" applyNumberFormat="1" applyFont="1" applyFill="1" applyBorder="1" applyAlignment="1">
      <alignment horizontal="center" vertical="center" wrapText="1"/>
    </xf>
    <xf numFmtId="177" fontId="40" fillId="0" borderId="6" xfId="0" applyNumberFormat="1" applyFont="1" applyFill="1" applyBorder="1" applyAlignment="1">
      <alignment horizontal="right" vertical="center" wrapText="1"/>
    </xf>
    <xf numFmtId="179" fontId="40" fillId="0" borderId="6" xfId="0" applyNumberFormat="1" applyFont="1" applyFill="1" applyBorder="1" applyAlignment="1">
      <alignment horizontal="right" vertical="center" wrapText="1"/>
    </xf>
    <xf numFmtId="0" fontId="39" fillId="3" borderId="6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 applyProtection="1">
      <alignment horizontal="left" vertical="center" wrapText="1"/>
    </xf>
    <xf numFmtId="0" fontId="19" fillId="3" borderId="6" xfId="0" applyFont="1" applyFill="1" applyBorder="1" applyAlignment="1" applyProtection="1">
      <alignment horizontal="center" vertical="center" wrapText="1"/>
    </xf>
    <xf numFmtId="0" fontId="19" fillId="3" borderId="6" xfId="0" applyFont="1" applyFill="1" applyBorder="1" applyAlignment="1">
      <alignment horizontal="center" vertical="center"/>
    </xf>
    <xf numFmtId="0" fontId="19" fillId="3" borderId="6" xfId="0" applyNumberFormat="1" applyFont="1" applyFill="1" applyBorder="1" applyAlignment="1">
      <alignment horizontal="center" vertical="center" wrapText="1"/>
    </xf>
    <xf numFmtId="177" fontId="40" fillId="3" borderId="6" xfId="0" applyNumberFormat="1" applyFont="1" applyFill="1" applyBorder="1" applyAlignment="1">
      <alignment horizontal="right" vertical="center" wrapText="1"/>
    </xf>
    <xf numFmtId="179" fontId="40" fillId="3" borderId="6" xfId="0" applyNumberFormat="1" applyFont="1" applyFill="1" applyBorder="1" applyAlignment="1">
      <alignment horizontal="right" vertical="center" wrapText="1"/>
    </xf>
    <xf numFmtId="176" fontId="19" fillId="0" borderId="6" xfId="0" applyNumberFormat="1" applyFont="1" applyFill="1" applyBorder="1" applyAlignment="1">
      <alignment horizontal="center" vertical="center"/>
    </xf>
    <xf numFmtId="176" fontId="19" fillId="0" borderId="6" xfId="0" applyNumberFormat="1" applyFont="1" applyFill="1" applyBorder="1" applyAlignment="1">
      <alignment horizontal="center" vertical="center" wrapText="1"/>
    </xf>
    <xf numFmtId="176" fontId="40" fillId="0" borderId="6" xfId="0" applyNumberFormat="1" applyFont="1" applyFill="1" applyBorder="1" applyAlignment="1">
      <alignment horizontal="right" vertical="center" wrapText="1"/>
    </xf>
    <xf numFmtId="180" fontId="40" fillId="0" borderId="6" xfId="0" applyNumberFormat="1" applyFont="1" applyFill="1" applyBorder="1" applyAlignment="1">
      <alignment horizontal="right" vertical="center" wrapText="1"/>
    </xf>
    <xf numFmtId="178" fontId="33" fillId="0" borderId="0" xfId="0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178" fontId="20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178" fontId="20" fillId="2" borderId="6" xfId="0" applyNumberFormat="1" applyFont="1" applyFill="1" applyBorder="1" applyAlignment="1">
      <alignment horizontal="center" vertical="center" wrapText="1"/>
    </xf>
    <xf numFmtId="178" fontId="19" fillId="0" borderId="6" xfId="0" applyNumberFormat="1" applyFont="1" applyFill="1" applyBorder="1" applyAlignment="1">
      <alignment horizontal="center" vertical="center" wrapText="1"/>
    </xf>
    <xf numFmtId="177" fontId="19" fillId="0" borderId="0" xfId="0" applyNumberFormat="1" applyFont="1" applyFill="1" applyBorder="1" applyAlignment="1">
      <alignment horizontal="center" vertical="center"/>
    </xf>
    <xf numFmtId="178" fontId="19" fillId="3" borderId="6" xfId="0" applyNumberFormat="1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/>
    </xf>
    <xf numFmtId="177" fontId="41" fillId="4" borderId="0" xfId="0" applyNumberFormat="1" applyFont="1" applyFill="1" applyAlignment="1">
      <alignment horizontal="center" vertical="center"/>
    </xf>
    <xf numFmtId="0" fontId="41" fillId="4" borderId="0" xfId="0" applyFont="1" applyFill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176" fontId="19" fillId="0" borderId="0" xfId="0" applyNumberFormat="1" applyFont="1" applyFill="1" applyBorder="1" applyAlignment="1">
      <alignment horizontal="center" vertical="center"/>
    </xf>
    <xf numFmtId="178" fontId="19" fillId="0" borderId="4" xfId="0" applyNumberFormat="1" applyFont="1" applyFill="1" applyBorder="1" applyAlignment="1">
      <alignment horizontal="center" vertical="center" wrapText="1"/>
    </xf>
    <xf numFmtId="0" fontId="38" fillId="0" borderId="6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>
      <alignment horizontal="center" vertical="center"/>
    </xf>
    <xf numFmtId="0" fontId="20" fillId="0" borderId="6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/>
    <xf numFmtId="0" fontId="42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177" fontId="24" fillId="0" borderId="0" xfId="0" applyNumberFormat="1" applyFont="1" applyFill="1" applyBorder="1" applyAlignment="1">
      <alignment horizontal="right"/>
    </xf>
    <xf numFmtId="177" fontId="25" fillId="0" borderId="0" xfId="0" applyNumberFormat="1" applyFont="1" applyFill="1" applyBorder="1" applyAlignment="1">
      <alignment horizontal="right" vertical="center"/>
    </xf>
    <xf numFmtId="177" fontId="43" fillId="0" borderId="0" xfId="0" applyNumberFormat="1" applyFont="1" applyFill="1" applyBorder="1" applyAlignment="1">
      <alignment horizontal="right"/>
    </xf>
    <xf numFmtId="178" fontId="44" fillId="0" borderId="0" xfId="0" applyNumberFormat="1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46" fillId="0" borderId="0" xfId="0" applyFont="1" applyFill="1" applyBorder="1" applyAlignment="1">
      <alignment horizontal="center" vertical="center" wrapText="1"/>
    </xf>
    <xf numFmtId="177" fontId="46" fillId="0" borderId="0" xfId="0" applyNumberFormat="1" applyFont="1" applyFill="1" applyBorder="1" applyAlignment="1">
      <alignment horizontal="right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right" vertical="center" wrapText="1"/>
    </xf>
    <xf numFmtId="49" fontId="20" fillId="0" borderId="6" xfId="0" applyNumberFormat="1" applyFont="1" applyFill="1" applyBorder="1" applyAlignment="1">
      <alignment horizontal="center" vertical="center" wrapText="1"/>
    </xf>
    <xf numFmtId="177" fontId="20" fillId="0" borderId="6" xfId="0" applyNumberFormat="1" applyFont="1" applyFill="1" applyBorder="1" applyAlignment="1">
      <alignment horizontal="center" vertical="center"/>
    </xf>
    <xf numFmtId="177" fontId="20" fillId="0" borderId="6" xfId="0" applyNumberFormat="1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177" fontId="20" fillId="2" borderId="6" xfId="0" applyNumberFormat="1" applyFont="1" applyFill="1" applyBorder="1" applyAlignment="1" applyProtection="1">
      <alignment horizontal="right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vertical="center" wrapText="1"/>
    </xf>
    <xf numFmtId="0" fontId="20" fillId="5" borderId="6" xfId="0" applyFont="1" applyFill="1" applyBorder="1" applyAlignment="1" applyProtection="1">
      <alignment horizontal="center" vertical="center" wrapText="1"/>
    </xf>
    <xf numFmtId="177" fontId="20" fillId="5" borderId="6" xfId="0" applyNumberFormat="1" applyFont="1" applyFill="1" applyBorder="1" applyAlignment="1" applyProtection="1">
      <alignment horizontal="right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vertical="center" wrapText="1"/>
    </xf>
    <xf numFmtId="177" fontId="19" fillId="0" borderId="6" xfId="0" applyNumberFormat="1" applyFont="1" applyFill="1" applyBorder="1" applyAlignment="1" applyProtection="1">
      <alignment horizontal="right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vertical="center" wrapText="1"/>
    </xf>
    <xf numFmtId="177" fontId="19" fillId="3" borderId="6" xfId="0" applyNumberFormat="1" applyFont="1" applyFill="1" applyBorder="1" applyAlignment="1" applyProtection="1">
      <alignment horizontal="right" vertical="center" wrapText="1"/>
    </xf>
    <xf numFmtId="0" fontId="42" fillId="0" borderId="6" xfId="0" applyFont="1" applyFill="1" applyBorder="1" applyAlignment="1">
      <alignment horizontal="center" vertical="center" wrapText="1"/>
    </xf>
    <xf numFmtId="0" fontId="42" fillId="0" borderId="6" xfId="0" applyFont="1" applyFill="1" applyBorder="1" applyAlignment="1">
      <alignment vertical="center" wrapText="1"/>
    </xf>
    <xf numFmtId="0" fontId="42" fillId="0" borderId="6" xfId="0" applyFont="1" applyFill="1" applyBorder="1" applyAlignment="1" applyProtection="1">
      <alignment horizontal="center" vertical="center" wrapText="1"/>
    </xf>
    <xf numFmtId="177" fontId="42" fillId="0" borderId="6" xfId="0" applyNumberFormat="1" applyFont="1" applyFill="1" applyBorder="1" applyAlignment="1" applyProtection="1">
      <alignment horizontal="right" vertical="center" wrapText="1"/>
    </xf>
    <xf numFmtId="177" fontId="48" fillId="0" borderId="0" xfId="0" applyNumberFormat="1" applyFont="1" applyFill="1" applyBorder="1" applyAlignment="1">
      <alignment horizontal="right" vertical="center" wrapText="1"/>
    </xf>
    <xf numFmtId="177" fontId="49" fillId="0" borderId="0" xfId="0" applyNumberFormat="1" applyFont="1" applyFill="1" applyBorder="1" applyAlignment="1">
      <alignment horizontal="right" vertical="center" wrapText="1"/>
    </xf>
    <xf numFmtId="0" fontId="22" fillId="0" borderId="0" xfId="0" applyFont="1" applyFill="1" applyBorder="1" applyAlignment="1">
      <alignment horizontal="right" vertical="center" wrapText="1"/>
    </xf>
    <xf numFmtId="177" fontId="50" fillId="0" borderId="6" xfId="0" applyNumberFormat="1" applyFont="1" applyFill="1" applyBorder="1" applyAlignment="1">
      <alignment horizontal="center" vertical="center"/>
    </xf>
    <xf numFmtId="177" fontId="20" fillId="2" borderId="6" xfId="0" applyNumberFormat="1" applyFont="1" applyFill="1" applyBorder="1" applyAlignment="1">
      <alignment horizontal="right" vertical="center" wrapText="1"/>
    </xf>
    <xf numFmtId="177" fontId="50" fillId="2" borderId="6" xfId="0" applyNumberFormat="1" applyFont="1" applyFill="1" applyBorder="1" applyAlignment="1">
      <alignment horizontal="right" vertical="center"/>
    </xf>
    <xf numFmtId="177" fontId="50" fillId="2" borderId="6" xfId="0" applyNumberFormat="1" applyFont="1" applyFill="1" applyBorder="1" applyAlignment="1">
      <alignment horizontal="right" vertical="center" wrapText="1"/>
    </xf>
    <xf numFmtId="177" fontId="50" fillId="2" borderId="6" xfId="0" applyNumberFormat="1" applyFont="1" applyFill="1" applyBorder="1" applyAlignment="1" applyProtection="1">
      <alignment horizontal="right" vertical="center" wrapText="1"/>
    </xf>
    <xf numFmtId="177" fontId="20" fillId="5" borderId="6" xfId="0" applyNumberFormat="1" applyFont="1" applyFill="1" applyBorder="1" applyAlignment="1">
      <alignment horizontal="right" vertical="center" wrapText="1"/>
    </xf>
    <xf numFmtId="177" fontId="50" fillId="5" borderId="6" xfId="0" applyNumberFormat="1" applyFont="1" applyFill="1" applyBorder="1" applyAlignment="1">
      <alignment horizontal="right" vertical="center"/>
    </xf>
    <xf numFmtId="177" fontId="50" fillId="5" borderId="6" xfId="0" applyNumberFormat="1" applyFont="1" applyFill="1" applyBorder="1" applyAlignment="1">
      <alignment horizontal="right" vertical="center" wrapText="1"/>
    </xf>
    <xf numFmtId="177" fontId="50" fillId="5" borderId="6" xfId="0" applyNumberFormat="1" applyFont="1" applyFill="1" applyBorder="1" applyAlignment="1" applyProtection="1">
      <alignment horizontal="right" vertical="center" wrapText="1"/>
    </xf>
    <xf numFmtId="177" fontId="19" fillId="0" borderId="6" xfId="0" applyNumberFormat="1" applyFont="1" applyFill="1" applyBorder="1" applyAlignment="1">
      <alignment horizontal="right" vertical="center" wrapText="1"/>
    </xf>
    <xf numFmtId="177" fontId="42" fillId="0" borderId="6" xfId="0" applyNumberFormat="1" applyFont="1" applyFill="1" applyBorder="1" applyAlignment="1">
      <alignment horizontal="right" vertical="center"/>
    </xf>
    <xf numFmtId="177" fontId="42" fillId="0" borderId="6" xfId="0" applyNumberFormat="1" applyFont="1" applyFill="1" applyBorder="1" applyAlignment="1">
      <alignment horizontal="right" vertical="center" wrapText="1"/>
    </xf>
    <xf numFmtId="177" fontId="19" fillId="3" borderId="6" xfId="0" applyNumberFormat="1" applyFont="1" applyFill="1" applyBorder="1" applyAlignment="1">
      <alignment horizontal="right" vertical="center" wrapText="1"/>
    </xf>
    <xf numFmtId="177" fontId="42" fillId="3" borderId="6" xfId="0" applyNumberFormat="1" applyFont="1" applyFill="1" applyBorder="1" applyAlignment="1">
      <alignment horizontal="right" vertical="center"/>
    </xf>
    <xf numFmtId="177" fontId="42" fillId="3" borderId="6" xfId="0" applyNumberFormat="1" applyFont="1" applyFill="1" applyBorder="1" applyAlignment="1">
      <alignment horizontal="right" vertical="center" wrapText="1"/>
    </xf>
    <xf numFmtId="176" fontId="19" fillId="0" borderId="6" xfId="0" applyNumberFormat="1" applyFont="1" applyFill="1" applyBorder="1" applyAlignment="1" applyProtection="1">
      <alignment horizontal="right" vertical="center" wrapText="1"/>
    </xf>
    <xf numFmtId="176" fontId="42" fillId="0" borderId="6" xfId="0" applyNumberFormat="1" applyFont="1" applyFill="1" applyBorder="1" applyAlignment="1">
      <alignment horizontal="right" vertical="center"/>
    </xf>
    <xf numFmtId="178" fontId="46" fillId="0" borderId="0" xfId="0" applyNumberFormat="1" applyFont="1" applyFill="1" applyBorder="1" applyAlignment="1">
      <alignment horizontal="center" vertical="center" wrapText="1"/>
    </xf>
    <xf numFmtId="177" fontId="47" fillId="0" borderId="0" xfId="0" applyNumberFormat="1" applyFont="1" applyFill="1" applyBorder="1" applyAlignment="1">
      <alignment horizontal="right" vertical="center" wrapText="1"/>
    </xf>
    <xf numFmtId="178" fontId="20" fillId="0" borderId="22" xfId="0" applyNumberFormat="1" applyFont="1" applyFill="1" applyBorder="1" applyAlignment="1">
      <alignment horizontal="center" vertical="center" wrapText="1"/>
    </xf>
    <xf numFmtId="178" fontId="20" fillId="0" borderId="23" xfId="0" applyNumberFormat="1" applyFont="1" applyFill="1" applyBorder="1" applyAlignment="1">
      <alignment horizontal="center" vertical="center" wrapText="1"/>
    </xf>
    <xf numFmtId="178" fontId="20" fillId="0" borderId="4" xfId="0" applyNumberFormat="1" applyFont="1" applyFill="1" applyBorder="1" applyAlignment="1">
      <alignment horizontal="center" vertical="center" wrapText="1"/>
    </xf>
    <xf numFmtId="181" fontId="50" fillId="2" borderId="6" xfId="0" applyNumberFormat="1" applyFont="1" applyFill="1" applyBorder="1" applyAlignment="1" applyProtection="1">
      <alignment horizontal="right" vertical="center" wrapText="1"/>
    </xf>
    <xf numFmtId="181" fontId="50" fillId="5" borderId="6" xfId="0" applyNumberFormat="1" applyFont="1" applyFill="1" applyBorder="1" applyAlignment="1" applyProtection="1">
      <alignment horizontal="right" vertical="center" wrapText="1"/>
    </xf>
    <xf numFmtId="178" fontId="20" fillId="5" borderId="6" xfId="0" applyNumberFormat="1" applyFont="1" applyFill="1" applyBorder="1" applyAlignment="1">
      <alignment horizontal="center" vertical="center" wrapText="1"/>
    </xf>
    <xf numFmtId="181" fontId="42" fillId="0" borderId="6" xfId="0" applyNumberFormat="1" applyFont="1" applyFill="1" applyBorder="1" applyAlignment="1" applyProtection="1">
      <alignment horizontal="right" vertical="center" wrapText="1"/>
    </xf>
    <xf numFmtId="177" fontId="42" fillId="3" borderId="6" xfId="0" applyNumberFormat="1" applyFont="1" applyFill="1" applyBorder="1" applyAlignment="1" applyProtection="1">
      <alignment horizontal="right" vertical="center" wrapText="1"/>
    </xf>
    <xf numFmtId="181" fontId="42" fillId="3" borderId="6" xfId="0" applyNumberFormat="1" applyFont="1" applyFill="1" applyBorder="1" applyAlignment="1" applyProtection="1">
      <alignment horizontal="right" vertical="center" wrapText="1"/>
    </xf>
    <xf numFmtId="178" fontId="42" fillId="0" borderId="6" xfId="0" applyNumberFormat="1" applyFont="1" applyFill="1" applyBorder="1" applyAlignment="1">
      <alignment horizontal="center" vertical="center" wrapText="1"/>
    </xf>
    <xf numFmtId="182" fontId="19" fillId="0" borderId="6" xfId="0" applyNumberFormat="1" applyFont="1" applyFill="1" applyBorder="1" applyAlignment="1" applyProtection="1">
      <alignment horizontal="right" vertical="center" wrapText="1"/>
    </xf>
    <xf numFmtId="177" fontId="20" fillId="0" borderId="6" xfId="0" applyNumberFormat="1" applyFont="1" applyFill="1" applyBorder="1" applyAlignment="1" applyProtection="1">
      <alignment horizontal="right" vertical="center" wrapText="1"/>
    </xf>
    <xf numFmtId="177" fontId="50" fillId="0" borderId="6" xfId="0" applyNumberFormat="1" applyFont="1" applyFill="1" applyBorder="1" applyAlignment="1" applyProtection="1">
      <alignment horizontal="right" vertical="center" wrapText="1"/>
    </xf>
    <xf numFmtId="183" fontId="39" fillId="0" borderId="6" xfId="0" applyNumberFormat="1" applyFont="1" applyFill="1" applyBorder="1" applyAlignment="1">
      <alignment horizontal="center" vertical="center" wrapText="1"/>
    </xf>
    <xf numFmtId="177" fontId="19" fillId="5" borderId="6" xfId="0" applyNumberFormat="1" applyFont="1" applyFill="1" applyBorder="1" applyAlignment="1" applyProtection="1">
      <alignment horizontal="right" vertical="center" wrapText="1"/>
    </xf>
    <xf numFmtId="0" fontId="20" fillId="5" borderId="6" xfId="0" applyFont="1" applyFill="1" applyBorder="1" applyAlignment="1">
      <alignment horizontal="left" vertical="center" wrapText="1"/>
    </xf>
    <xf numFmtId="177" fontId="20" fillId="5" borderId="6" xfId="0" applyNumberFormat="1" applyFont="1" applyFill="1" applyBorder="1" applyAlignment="1" applyProtection="1">
      <alignment horizontal="center" vertical="center" wrapText="1"/>
    </xf>
    <xf numFmtId="177" fontId="20" fillId="2" borderId="6" xfId="0" applyNumberFormat="1" applyFont="1" applyFill="1" applyBorder="1" applyAlignment="1" applyProtection="1">
      <alignment horizontal="center" vertical="center" wrapText="1"/>
    </xf>
    <xf numFmtId="177" fontId="20" fillId="0" borderId="6" xfId="0" applyNumberFormat="1" applyFont="1" applyFill="1" applyBorder="1" applyAlignment="1">
      <alignment horizontal="right" vertical="center" wrapText="1"/>
    </xf>
    <xf numFmtId="177" fontId="20" fillId="5" borderId="6" xfId="0" applyNumberFormat="1" applyFont="1" applyFill="1" applyBorder="1" applyAlignment="1">
      <alignment horizontal="center" vertical="center" wrapText="1"/>
    </xf>
    <xf numFmtId="177" fontId="50" fillId="5" borderId="6" xfId="0" applyNumberFormat="1" applyFont="1" applyFill="1" applyBorder="1" applyAlignment="1" applyProtection="1">
      <alignment horizontal="center" vertical="center" wrapText="1"/>
    </xf>
    <xf numFmtId="177" fontId="51" fillId="0" borderId="6" xfId="0" applyNumberFormat="1" applyFont="1" applyFill="1" applyBorder="1" applyAlignment="1" applyProtection="1">
      <alignment horizontal="right" vertical="center" wrapText="1"/>
    </xf>
    <xf numFmtId="177" fontId="20" fillId="2" borderId="6" xfId="0" applyNumberFormat="1" applyFont="1" applyFill="1" applyBorder="1" applyAlignment="1">
      <alignment horizontal="center" vertical="center" wrapText="1"/>
    </xf>
    <xf numFmtId="177" fontId="50" fillId="2" borderId="6" xfId="0" applyNumberFormat="1" applyFont="1" applyFill="1" applyBorder="1" applyAlignment="1" applyProtection="1">
      <alignment horizontal="center" vertical="center" wrapText="1"/>
    </xf>
    <xf numFmtId="181" fontId="50" fillId="5" borderId="6" xfId="0" applyNumberFormat="1" applyFont="1" applyFill="1" applyBorder="1" applyAlignment="1" applyProtection="1">
      <alignment horizontal="center" vertical="center" wrapText="1"/>
    </xf>
    <xf numFmtId="177" fontId="20" fillId="2" borderId="17" xfId="0" applyNumberFormat="1" applyFont="1" applyFill="1" applyBorder="1" applyAlignment="1" applyProtection="1">
      <alignment horizontal="right" vertical="center" wrapText="1"/>
    </xf>
    <xf numFmtId="177" fontId="20" fillId="2" borderId="24" xfId="0" applyNumberFormat="1" applyFont="1" applyFill="1" applyBorder="1" applyAlignment="1" applyProtection="1">
      <alignment horizontal="right" vertical="center" wrapText="1"/>
    </xf>
    <xf numFmtId="177" fontId="20" fillId="2" borderId="19" xfId="0" applyNumberFormat="1" applyFont="1" applyFill="1" applyBorder="1" applyAlignment="1" applyProtection="1">
      <alignment horizontal="center" vertical="center" wrapText="1"/>
    </xf>
    <xf numFmtId="1" fontId="20" fillId="0" borderId="6" xfId="0" applyNumberFormat="1" applyFont="1" applyFill="1" applyBorder="1" applyAlignment="1" applyProtection="1">
      <alignment horizontal="center" vertical="center" wrapText="1"/>
    </xf>
    <xf numFmtId="2" fontId="21" fillId="0" borderId="17" xfId="0" applyNumberFormat="1" applyFont="1" applyFill="1" applyBorder="1" applyAlignment="1" applyProtection="1">
      <alignment horizontal="right" vertical="center" wrapText="1"/>
    </xf>
    <xf numFmtId="2" fontId="21" fillId="0" borderId="24" xfId="0" applyNumberFormat="1" applyFont="1" applyFill="1" applyBorder="1" applyAlignment="1" applyProtection="1">
      <alignment horizontal="right" vertical="center" wrapText="1"/>
    </xf>
    <xf numFmtId="2" fontId="21" fillId="0" borderId="19" xfId="0" applyNumberFormat="1" applyFont="1" applyFill="1" applyBorder="1" applyAlignment="1" applyProtection="1">
      <alignment vertical="center" wrapText="1"/>
    </xf>
    <xf numFmtId="0" fontId="20" fillId="0" borderId="6" xfId="0" applyFont="1" applyFill="1" applyBorder="1" applyAlignment="1">
      <alignment vertical="center" wrapText="1"/>
    </xf>
    <xf numFmtId="2" fontId="21" fillId="0" borderId="17" xfId="0" applyNumberFormat="1" applyFont="1" applyFill="1" applyBorder="1" applyAlignment="1" applyProtection="1">
      <alignment horizontal="center" vertical="center" wrapText="1"/>
    </xf>
    <xf numFmtId="2" fontId="21" fillId="0" borderId="24" xfId="0" applyNumberFormat="1" applyFont="1" applyFill="1" applyBorder="1" applyAlignment="1" applyProtection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177" fontId="19" fillId="0" borderId="0" xfId="0" applyNumberFormat="1" applyFont="1" applyFill="1" applyBorder="1" applyAlignment="1" applyProtection="1">
      <alignment horizontal="right" vertical="center" wrapText="1"/>
    </xf>
    <xf numFmtId="177" fontId="19" fillId="0" borderId="0" xfId="0" applyNumberFormat="1" applyFont="1" applyFill="1" applyBorder="1" applyAlignment="1">
      <alignment horizontal="right" vertical="center" wrapText="1"/>
    </xf>
    <xf numFmtId="184" fontId="19" fillId="0" borderId="0" xfId="0" applyNumberFormat="1" applyFont="1" applyFill="1" applyBorder="1" applyAlignment="1" applyProtection="1">
      <alignment horizontal="right" vertical="center" wrapText="1"/>
    </xf>
    <xf numFmtId="10" fontId="19" fillId="0" borderId="0" xfId="3" applyNumberFormat="1" applyFont="1" applyFill="1" applyBorder="1" applyAlignment="1">
      <alignment horizontal="right" vertical="center" wrapText="1"/>
    </xf>
    <xf numFmtId="177" fontId="50" fillId="2" borderId="24" xfId="0" applyNumberFormat="1" applyFont="1" applyFill="1" applyBorder="1" applyAlignment="1" applyProtection="1">
      <alignment horizontal="right" vertical="center" wrapText="1"/>
    </xf>
    <xf numFmtId="2" fontId="22" fillId="0" borderId="24" xfId="0" applyNumberFormat="1" applyFont="1" applyFill="1" applyBorder="1" applyAlignment="1" applyProtection="1">
      <alignment horizontal="right" vertical="center" wrapText="1"/>
    </xf>
    <xf numFmtId="177" fontId="40" fillId="0" borderId="0" xfId="0" applyNumberFormat="1" applyFont="1" applyFill="1" applyBorder="1" applyAlignment="1">
      <alignment horizontal="right" vertical="center"/>
    </xf>
    <xf numFmtId="177" fontId="42" fillId="0" borderId="0" xfId="0" applyNumberFormat="1" applyFont="1" applyFill="1" applyBorder="1" applyAlignment="1">
      <alignment horizontal="right" vertical="center"/>
    </xf>
    <xf numFmtId="182" fontId="19" fillId="0" borderId="0" xfId="0" applyNumberFormat="1" applyFont="1" applyFill="1" applyBorder="1" applyAlignment="1">
      <alignment horizontal="right" vertical="center" wrapText="1"/>
    </xf>
    <xf numFmtId="185" fontId="24" fillId="0" borderId="0" xfId="0" applyNumberFormat="1" applyFont="1" applyFill="1" applyBorder="1" applyAlignment="1">
      <alignment horizontal="right"/>
    </xf>
    <xf numFmtId="181" fontId="50" fillId="2" borderId="19" xfId="0" applyNumberFormat="1" applyFont="1" applyFill="1" applyBorder="1" applyAlignment="1" applyProtection="1">
      <alignment horizontal="center" vertical="center" wrapText="1"/>
    </xf>
    <xf numFmtId="2" fontId="22" fillId="0" borderId="19" xfId="0" applyNumberFormat="1" applyFont="1" applyFill="1" applyBorder="1" applyAlignment="1" applyProtection="1">
      <alignment vertical="center" wrapText="1"/>
    </xf>
    <xf numFmtId="177" fontId="50" fillId="0" borderId="6" xfId="0" applyNumberFormat="1" applyFont="1" applyFill="1" applyBorder="1" applyAlignment="1">
      <alignment horizontal="right" vertical="center" wrapText="1"/>
    </xf>
    <xf numFmtId="177" fontId="50" fillId="0" borderId="6" xfId="0" applyNumberFormat="1" applyFont="1" applyFill="1" applyBorder="1" applyAlignment="1">
      <alignment horizontal="right" vertical="center"/>
    </xf>
    <xf numFmtId="178" fontId="20" fillId="0" borderId="6" xfId="0" applyNumberFormat="1" applyFont="1" applyFill="1" applyBorder="1" applyAlignment="1">
      <alignment vertical="center" wrapText="1"/>
    </xf>
    <xf numFmtId="177" fontId="19" fillId="0" borderId="0" xfId="0" applyNumberFormat="1" applyFont="1" applyFill="1" applyBorder="1" applyAlignment="1">
      <alignment horizontal="center"/>
    </xf>
    <xf numFmtId="10" fontId="20" fillId="0" borderId="4" xfId="3" applyNumberFormat="1" applyFont="1" applyFill="1" applyBorder="1" applyAlignment="1">
      <alignment horizontal="center" vertical="center" wrapText="1"/>
    </xf>
    <xf numFmtId="10" fontId="20" fillId="0" borderId="6" xfId="3" applyNumberFormat="1" applyFont="1" applyFill="1" applyBorder="1" applyAlignment="1">
      <alignment horizontal="center" vertical="center" wrapText="1"/>
    </xf>
    <xf numFmtId="177" fontId="42" fillId="0" borderId="0" xfId="0" applyNumberFormat="1" applyFont="1" applyFill="1" applyBorder="1" applyAlignment="1" applyProtection="1">
      <alignment horizontal="right" vertical="center" wrapText="1"/>
    </xf>
    <xf numFmtId="177" fontId="42" fillId="0" borderId="0" xfId="0" applyNumberFormat="1" applyFont="1" applyFill="1" applyBorder="1" applyAlignment="1">
      <alignment horizontal="right" vertical="center" wrapText="1"/>
    </xf>
    <xf numFmtId="177" fontId="30" fillId="0" borderId="0" xfId="0" applyNumberFormat="1" applyFont="1" applyFill="1" applyBorder="1" applyAlignment="1">
      <alignment horizontal="center"/>
    </xf>
    <xf numFmtId="0" fontId="11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15" fillId="0" borderId="0" xfId="0" applyFont="1" applyFill="1" applyAlignment="1">
      <alignment horizontal="right" vertical="center"/>
    </xf>
    <xf numFmtId="179" fontId="15" fillId="0" borderId="0" xfId="0" applyNumberFormat="1" applyFont="1" applyFill="1" applyAlignment="1">
      <alignment horizontal="right" vertical="center"/>
    </xf>
    <xf numFmtId="0" fontId="15" fillId="0" borderId="0" xfId="0" applyFont="1" applyFill="1" applyAlignment="1">
      <alignment horizontal="center" vertical="center"/>
    </xf>
    <xf numFmtId="0" fontId="52" fillId="0" borderId="0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50" fillId="0" borderId="0" xfId="0" applyFont="1" applyFill="1" applyBorder="1" applyAlignment="1">
      <alignment horizontal="left" vertical="center" wrapText="1"/>
    </xf>
    <xf numFmtId="0" fontId="50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/>
    </xf>
    <xf numFmtId="177" fontId="21" fillId="0" borderId="6" xfId="0" applyNumberFormat="1" applyFont="1" applyFill="1" applyBorder="1" applyAlignment="1">
      <alignment vertical="center" wrapText="1"/>
    </xf>
    <xf numFmtId="177" fontId="22" fillId="0" borderId="6" xfId="0" applyNumberFormat="1" applyFont="1" applyFill="1" applyBorder="1" applyAlignment="1">
      <alignment horizontal="righ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center" vertical="center"/>
    </xf>
    <xf numFmtId="177" fontId="24" fillId="0" borderId="6" xfId="0" applyNumberFormat="1" applyFont="1" applyFill="1" applyBorder="1" applyAlignment="1">
      <alignment vertical="center" wrapText="1"/>
    </xf>
    <xf numFmtId="177" fontId="25" fillId="0" borderId="6" xfId="0" applyNumberFormat="1" applyFont="1" applyFill="1" applyBorder="1" applyAlignment="1">
      <alignment horizontal="right" vertical="center" wrapText="1"/>
    </xf>
    <xf numFmtId="177" fontId="25" fillId="0" borderId="6" xfId="0" applyNumberFormat="1" applyFont="1" applyFill="1" applyBorder="1" applyAlignment="1">
      <alignment vertical="center" wrapText="1"/>
    </xf>
    <xf numFmtId="0" fontId="10" fillId="0" borderId="6" xfId="0" applyFont="1" applyFill="1" applyBorder="1" applyAlignment="1">
      <alignment vertical="center"/>
    </xf>
    <xf numFmtId="0" fontId="10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vertical="center"/>
    </xf>
    <xf numFmtId="0" fontId="11" fillId="0" borderId="6" xfId="0" applyFont="1" applyFill="1" applyBorder="1" applyAlignment="1">
      <alignment horizontal="center" vertical="center"/>
    </xf>
    <xf numFmtId="177" fontId="21" fillId="0" borderId="17" xfId="0" applyNumberFormat="1" applyFont="1" applyFill="1" applyBorder="1" applyAlignment="1">
      <alignment horizontal="right" vertical="center" wrapText="1"/>
    </xf>
    <xf numFmtId="177" fontId="21" fillId="0" borderId="19" xfId="0" applyNumberFormat="1" applyFont="1" applyFill="1" applyBorder="1" applyAlignment="1">
      <alignment horizontal="right" vertical="center" wrapText="1"/>
    </xf>
    <xf numFmtId="177" fontId="22" fillId="0" borderId="17" xfId="0" applyNumberFormat="1" applyFont="1" applyFill="1" applyBorder="1" applyAlignment="1">
      <alignment horizontal="right" vertical="center" wrapText="1"/>
    </xf>
    <xf numFmtId="177" fontId="21" fillId="0" borderId="6" xfId="0" applyNumberFormat="1" applyFont="1" applyFill="1" applyBorder="1" applyAlignment="1">
      <alignment horizontal="righ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10" fontId="15" fillId="0" borderId="0" xfId="3" applyNumberFormat="1" applyFont="1" applyFill="1" applyAlignment="1">
      <alignment horizontal="right" vertical="center"/>
    </xf>
    <xf numFmtId="177" fontId="15" fillId="0" borderId="0" xfId="0" applyNumberFormat="1" applyFont="1" applyFill="1" applyAlignment="1">
      <alignment horizontal="right" vertical="center"/>
    </xf>
    <xf numFmtId="0" fontId="50" fillId="0" borderId="6" xfId="0" applyFont="1" applyFill="1" applyBorder="1" applyAlignment="1">
      <alignment vertical="center" wrapText="1"/>
    </xf>
    <xf numFmtId="186" fontId="22" fillId="0" borderId="6" xfId="0" applyNumberFormat="1" applyFont="1" applyFill="1" applyBorder="1" applyAlignment="1">
      <alignment horizontal="center" vertical="center" wrapText="1"/>
    </xf>
    <xf numFmtId="177" fontId="12" fillId="0" borderId="6" xfId="0" applyNumberFormat="1" applyFont="1" applyFill="1" applyBorder="1" applyAlignment="1">
      <alignment vertical="center" wrapText="1"/>
    </xf>
    <xf numFmtId="186" fontId="25" fillId="0" borderId="6" xfId="0" applyNumberFormat="1" applyFont="1" applyFill="1" applyBorder="1" applyAlignment="1">
      <alignment horizontal="center" vertical="center" wrapText="1"/>
    </xf>
    <xf numFmtId="186" fontId="42" fillId="0" borderId="6" xfId="0" applyNumberFormat="1" applyFont="1" applyFill="1" applyBorder="1" applyAlignment="1">
      <alignment horizontal="left" vertical="center" wrapText="1"/>
    </xf>
    <xf numFmtId="0" fontId="54" fillId="0" borderId="6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55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 wrapText="1"/>
    </xf>
    <xf numFmtId="177" fontId="22" fillId="0" borderId="19" xfId="0" applyNumberFormat="1" applyFont="1" applyFill="1" applyBorder="1" applyAlignment="1">
      <alignment horizontal="right" vertical="center" wrapText="1"/>
    </xf>
    <xf numFmtId="177" fontId="55" fillId="0" borderId="6" xfId="0" applyNumberFormat="1" applyFont="1" applyFill="1" applyBorder="1" applyAlignment="1">
      <alignment horizontal="right" vertical="center" wrapText="1"/>
    </xf>
    <xf numFmtId="0" fontId="56" fillId="0" borderId="6" xfId="0" applyFont="1" applyFill="1" applyBorder="1" applyAlignment="1">
      <alignment horizontal="center" vertical="center" wrapText="1"/>
    </xf>
    <xf numFmtId="0" fontId="55" fillId="0" borderId="22" xfId="0" applyFont="1" applyFill="1" applyBorder="1" applyAlignment="1">
      <alignment horizontal="center" vertical="center"/>
    </xf>
    <xf numFmtId="0" fontId="55" fillId="0" borderId="4" xfId="0" applyFont="1" applyFill="1" applyBorder="1" applyAlignment="1">
      <alignment horizontal="center" vertical="center"/>
    </xf>
    <xf numFmtId="0" fontId="57" fillId="0" borderId="4" xfId="0" applyFont="1" applyFill="1" applyBorder="1" applyAlignment="1">
      <alignment horizontal="left" vertical="center" wrapText="1"/>
    </xf>
    <xf numFmtId="10" fontId="55" fillId="0" borderId="4" xfId="3" applyNumberFormat="1" applyFont="1" applyFill="1" applyBorder="1" applyAlignment="1">
      <alignment horizontal="center" vertical="center"/>
    </xf>
    <xf numFmtId="10" fontId="50" fillId="0" borderId="6" xfId="3" applyNumberFormat="1" applyFont="1" applyFill="1" applyBorder="1" applyAlignment="1">
      <alignment horizontal="center" vertical="center" wrapText="1"/>
    </xf>
    <xf numFmtId="177" fontId="0" fillId="0" borderId="0" xfId="0" applyNumberFormat="1" applyFill="1" applyAlignment="1">
      <alignment vertical="center"/>
    </xf>
    <xf numFmtId="0" fontId="30" fillId="0" borderId="0" xfId="53" applyFill="1" applyBorder="1" applyAlignment="1"/>
    <xf numFmtId="0" fontId="58" fillId="0" borderId="0" xfId="53" applyFont="1" applyFill="1" applyBorder="1" applyAlignment="1"/>
    <xf numFmtId="0" fontId="59" fillId="0" borderId="0" xfId="53" applyFont="1" applyFill="1" applyBorder="1" applyAlignment="1">
      <alignment horizontal="center" vertical="center" wrapText="1"/>
    </xf>
    <xf numFmtId="0" fontId="60" fillId="0" borderId="25" xfId="53" applyFont="1" applyFill="1" applyBorder="1" applyAlignment="1">
      <alignment horizontal="center" vertical="center" wrapText="1"/>
    </xf>
    <xf numFmtId="0" fontId="61" fillId="0" borderId="0" xfId="53" applyFont="1" applyFill="1" applyBorder="1" applyAlignment="1">
      <alignment horizontal="center" wrapText="1"/>
    </xf>
    <xf numFmtId="0" fontId="62" fillId="0" borderId="0" xfId="53" applyFont="1" applyFill="1" applyBorder="1" applyAlignment="1">
      <alignment horizontal="left" wrapText="1"/>
    </xf>
    <xf numFmtId="0" fontId="63" fillId="0" borderId="0" xfId="53" applyFont="1" applyFill="1" applyBorder="1" applyAlignment="1">
      <alignment horizontal="left" wrapText="1"/>
    </xf>
    <xf numFmtId="177" fontId="63" fillId="0" borderId="25" xfId="53" applyNumberFormat="1" applyFont="1" applyFill="1" applyBorder="1" applyAlignment="1">
      <alignment horizontal="center" wrapText="1"/>
    </xf>
    <xf numFmtId="181" fontId="63" fillId="0" borderId="25" xfId="53" applyNumberFormat="1" applyFont="1" applyFill="1" applyBorder="1" applyAlignment="1">
      <alignment horizontal="left" wrapText="1"/>
    </xf>
    <xf numFmtId="177" fontId="64" fillId="0" borderId="25" xfId="53" applyNumberFormat="1" applyFont="1" applyFill="1" applyBorder="1" applyAlignment="1">
      <alignment horizontal="center" wrapText="1"/>
    </xf>
    <xf numFmtId="0" fontId="63" fillId="0" borderId="25" xfId="53" applyFont="1" applyFill="1" applyBorder="1" applyAlignment="1">
      <alignment horizontal="center" wrapText="1"/>
    </xf>
    <xf numFmtId="0" fontId="63" fillId="0" borderId="0" xfId="53" applyFont="1" applyFill="1" applyBorder="1" applyAlignment="1">
      <alignment horizontal="center" vertical="center" wrapText="1"/>
    </xf>
    <xf numFmtId="0" fontId="65" fillId="0" borderId="0" xfId="53" applyFont="1" applyFill="1" applyBorder="1" applyAlignment="1">
      <alignment horizontal="left" wrapText="1"/>
    </xf>
    <xf numFmtId="0" fontId="66" fillId="0" borderId="0" xfId="53" applyFont="1" applyFill="1" applyBorder="1" applyAlignment="1">
      <alignment horizontal="left" wrapText="1"/>
    </xf>
    <xf numFmtId="177" fontId="63" fillId="0" borderId="0" xfId="53" applyNumberFormat="1" applyFont="1" applyFill="1" applyBorder="1" applyAlignment="1">
      <alignment horizontal="center" wrapText="1"/>
    </xf>
    <xf numFmtId="0" fontId="63" fillId="0" borderId="0" xfId="53" applyFont="1" applyFill="1" applyBorder="1" applyAlignment="1">
      <alignment horizontal="center" wrapText="1"/>
    </xf>
    <xf numFmtId="187" fontId="63" fillId="0" borderId="25" xfId="53" applyNumberFormat="1" applyFont="1" applyFill="1" applyBorder="1" applyAlignment="1">
      <alignment horizontal="center" wrapText="1"/>
    </xf>
    <xf numFmtId="187" fontId="67" fillId="0" borderId="25" xfId="53" applyNumberFormat="1" applyFont="1" applyFill="1" applyBorder="1" applyAlignment="1">
      <alignment horizontal="center" wrapText="1"/>
    </xf>
    <xf numFmtId="0" fontId="68" fillId="0" borderId="0" xfId="53" applyFont="1" applyFill="1" applyBorder="1" applyAlignment="1">
      <alignment horizontal="left" wrapText="1"/>
    </xf>
    <xf numFmtId="0" fontId="66" fillId="0" borderId="0" xfId="53" applyFont="1" applyFill="1" applyBorder="1" applyAlignment="1">
      <alignment horizontal="right" wrapText="1"/>
    </xf>
    <xf numFmtId="186" fontId="64" fillId="0" borderId="0" xfId="0" applyNumberFormat="1" applyFont="1" applyFill="1" applyBorder="1" applyAlignment="1" applyProtection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洪河农村水利田园化二期工程结算" xfId="49"/>
    <cellStyle name="常规 2" xfId="50"/>
    <cellStyle name="常规_Sheet1" xfId="51"/>
    <cellStyle name="常规_耕作道工程量" xfId="52"/>
    <cellStyle name="常规 3" xfId="53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9044;&#32467;&#31639;&#25991;&#20214;&#22841;&#65288;&#26032;&#65289;\2021&#24180;&#24230;\&#21335;&#27743;&#21439;&#23457;&#35745;&#23616;&#12304;&#23457;&#35745;&#22797;&#26680;&#12305;&#25991;&#20214;&#22841;\&#39278;&#27700;&#23433;&#20840;&#39033;&#30446;\&#23457;&#35745;&#22797;&#26680;&#24213;&#31295;\&#21335;&#20140;&#27704;&#36947;\14&#12289;&#21335;&#27743;&#21439;&#21644;&#24179;&#20065;&#22367;&#26753;&#23376;&#26449;&#39278;&#27700;&#23433;&#20840;&#24037;&#31243;\&#21335;&#27743;&#21439;&#21644;&#24179;&#38215;&#22367;&#26753;&#23376;&#26449;&#39278;&#27700;&#23433;&#20840;&#24037;&#31243;&#65288;&#32467;&#31639;&#23457;&#35745;&#22797;&#26680;&#24773;&#20917;&#20844;&#31034;&#21450;&#38468;&#34920;&#65289;\&#21335;&#27743;&#21439;&#27719;&#28393;&#20065;&#22823;&#22445;&#37324;&#26449;&#39278;&#27700;&#23433;&#20840;&#24037;&#31243;&#32467;&#31639;&#23457;&#35745;&#22797;&#26680;&#24773;&#20917;&#20844;&#3103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汇总表"/>
      <sheetName val="结算审核表"/>
      <sheetName val="工程量核对表"/>
      <sheetName val="工程量计算稿"/>
      <sheetName val="材料价格除税表"/>
      <sheetName val="二转材料统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13"/>
  <sheetViews>
    <sheetView topLeftCell="A4" workbookViewId="0">
      <selection activeCell="H4" sqref="H4:K4"/>
    </sheetView>
  </sheetViews>
  <sheetFormatPr defaultColWidth="9" defaultRowHeight="14.25"/>
  <cols>
    <col min="1" max="1" width="13.8833333333333" style="358" customWidth="1"/>
    <col min="2" max="3" width="0.133333333333333" style="358" customWidth="1"/>
    <col min="4" max="4" width="2.75" style="358" customWidth="1"/>
    <col min="5" max="5" width="1.63333333333333" style="358" customWidth="1"/>
    <col min="6" max="6" width="0.633333333333333" style="358" customWidth="1"/>
    <col min="7" max="7" width="0.133333333333333" style="358" customWidth="1"/>
    <col min="8" max="8" width="19.1333333333333" style="358" customWidth="1"/>
    <col min="9" max="9" width="0.133333333333333" style="358" customWidth="1"/>
    <col min="10" max="10" width="0.25" style="358" customWidth="1"/>
    <col min="11" max="11" width="8.63333333333333" style="358" customWidth="1"/>
    <col min="12" max="12" width="0.133333333333333" style="358" customWidth="1"/>
    <col min="13" max="13" width="4" style="358" customWidth="1"/>
    <col min="14" max="15" width="0.133333333333333" style="358" customWidth="1"/>
    <col min="16" max="16" width="0.5" style="358" customWidth="1"/>
    <col min="17" max="17" width="0.133333333333333" style="358" customWidth="1"/>
    <col min="18" max="18" width="4.13333333333333" style="358" customWidth="1"/>
    <col min="19" max="19" width="0.133333333333333" style="358" customWidth="1"/>
    <col min="20" max="20" width="0.25" style="358" customWidth="1"/>
    <col min="21" max="21" width="0.133333333333333" style="358" customWidth="1"/>
    <col min="22" max="22" width="2.63333333333333" style="358" customWidth="1"/>
    <col min="23" max="23" width="10.8833333333333" style="358" customWidth="1"/>
    <col min="24" max="24" width="2.63333333333333" style="358" customWidth="1"/>
    <col min="25" max="25" width="0.25" style="358" customWidth="1"/>
    <col min="26" max="26" width="3.25" style="358" customWidth="1"/>
    <col min="27" max="27" width="8.5" style="358" customWidth="1"/>
    <col min="28" max="28" width="0.25" style="358" customWidth="1"/>
    <col min="29" max="29" width="1.38333333333333" style="358" customWidth="1"/>
    <col min="30" max="30" width="0.133333333333333" style="358" customWidth="1"/>
    <col min="31" max="31" width="6.13333333333333" style="358" customWidth="1"/>
    <col min="32" max="32" width="15.5" style="358" customWidth="1"/>
    <col min="33" max="33" width="0.133333333333333" style="358" customWidth="1"/>
    <col min="34" max="34" width="3.38333333333333" style="358" customWidth="1"/>
    <col min="35" max="35" width="10.3833333333333" style="358"/>
    <col min="36" max="36" width="13.75" style="358"/>
    <col min="37" max="16384" width="9" style="358"/>
  </cols>
  <sheetData>
    <row r="1" s="358" customFormat="1" ht="27" customHeight="1" spans="1:34">
      <c r="A1" s="360" t="s">
        <v>0</v>
      </c>
      <c r="B1" s="360"/>
      <c r="C1" s="360"/>
      <c r="D1" s="360"/>
      <c r="E1" s="361" t="s">
        <v>1</v>
      </c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  <c r="R1" s="361"/>
      <c r="S1" s="361"/>
      <c r="T1" s="361"/>
      <c r="U1" s="361"/>
      <c r="V1" s="361"/>
      <c r="W1" s="361"/>
      <c r="X1" s="361"/>
      <c r="Y1" s="361"/>
      <c r="Z1" s="361"/>
      <c r="AA1" s="361"/>
      <c r="AB1" s="361"/>
      <c r="AC1" s="361"/>
      <c r="AD1" s="361"/>
      <c r="AE1" s="361"/>
      <c r="AF1" s="376"/>
      <c r="AG1" s="376"/>
      <c r="AH1" s="376"/>
    </row>
    <row r="2" s="358" customFormat="1" ht="39" customHeight="1" spans="1:34">
      <c r="A2" s="362" t="s">
        <v>2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W2" s="362"/>
      <c r="X2" s="362"/>
      <c r="Y2" s="362"/>
      <c r="Z2" s="362"/>
      <c r="AA2" s="362"/>
      <c r="AB2" s="362"/>
      <c r="AC2" s="362"/>
      <c r="AD2" s="362"/>
      <c r="AE2" s="362"/>
      <c r="AF2" s="362"/>
      <c r="AG2" s="362"/>
      <c r="AH2" s="362"/>
    </row>
    <row r="3" s="359" customFormat="1" ht="43" customHeight="1" spans="1:34">
      <c r="A3" s="363" t="s">
        <v>3</v>
      </c>
      <c r="B3" s="364"/>
      <c r="C3" s="364"/>
      <c r="D3" s="364"/>
      <c r="E3" s="364"/>
      <c r="F3" s="364"/>
      <c r="G3" s="364"/>
      <c r="H3" s="365">
        <v>528000</v>
      </c>
      <c r="I3" s="365"/>
      <c r="J3" s="365"/>
      <c r="K3" s="365"/>
      <c r="L3" s="365"/>
      <c r="M3" s="364" t="s">
        <v>4</v>
      </c>
      <c r="N3" s="364"/>
      <c r="O3" s="364"/>
      <c r="P3" s="364"/>
      <c r="Q3" s="364"/>
      <c r="R3" s="364"/>
      <c r="S3" s="364"/>
      <c r="T3" s="364"/>
      <c r="U3" s="364"/>
      <c r="V3" s="374">
        <f>H3</f>
        <v>528000</v>
      </c>
      <c r="W3" s="374"/>
      <c r="X3" s="374"/>
      <c r="Y3" s="374"/>
      <c r="Z3" s="374"/>
      <c r="AA3" s="374"/>
      <c r="AB3" s="374"/>
      <c r="AC3" s="374"/>
      <c r="AD3" s="374"/>
      <c r="AE3" s="374"/>
      <c r="AF3" s="374"/>
      <c r="AG3" s="374"/>
      <c r="AH3" s="364" t="s">
        <v>0</v>
      </c>
    </row>
    <row r="4" s="359" customFormat="1" ht="45" customHeight="1" spans="1:34">
      <c r="A4" s="363" t="s">
        <v>5</v>
      </c>
      <c r="B4" s="364"/>
      <c r="C4" s="364"/>
      <c r="D4" s="364"/>
      <c r="E4" s="364"/>
      <c r="F4" s="364"/>
      <c r="G4" s="364"/>
      <c r="H4" s="365">
        <f>ROUND(汇总表!F24,0)</f>
        <v>818608</v>
      </c>
      <c r="I4" s="365"/>
      <c r="J4" s="365"/>
      <c r="K4" s="365"/>
      <c r="L4" s="372"/>
      <c r="M4" s="364" t="s">
        <v>4</v>
      </c>
      <c r="N4" s="364"/>
      <c r="O4" s="364"/>
      <c r="P4" s="364"/>
      <c r="Q4" s="364"/>
      <c r="R4" s="364"/>
      <c r="S4" s="364"/>
      <c r="T4" s="364"/>
      <c r="U4" s="364"/>
      <c r="V4" s="374">
        <f>H4</f>
        <v>818608</v>
      </c>
      <c r="W4" s="374"/>
      <c r="X4" s="374"/>
      <c r="Y4" s="374"/>
      <c r="Z4" s="374"/>
      <c r="AA4" s="374"/>
      <c r="AB4" s="374"/>
      <c r="AC4" s="374"/>
      <c r="AD4" s="374"/>
      <c r="AE4" s="374"/>
      <c r="AF4" s="374"/>
      <c r="AG4" s="374"/>
      <c r="AH4" s="364"/>
    </row>
    <row r="5" s="359" customFormat="1" ht="42.75" customHeight="1" spans="1:34">
      <c r="A5" s="363" t="s">
        <v>6</v>
      </c>
      <c r="B5" s="364"/>
      <c r="C5" s="364"/>
      <c r="D5" s="364"/>
      <c r="E5" s="364"/>
      <c r="F5" s="364"/>
      <c r="G5" s="366"/>
      <c r="H5" s="367">
        <f ca="1">ROUND(汇总表!F24-汇总表!H24,0)</f>
        <v>135842</v>
      </c>
      <c r="I5" s="367"/>
      <c r="J5" s="367"/>
      <c r="K5" s="367"/>
      <c r="L5" s="364" t="s">
        <v>4</v>
      </c>
      <c r="M5" s="364"/>
      <c r="N5" s="364"/>
      <c r="O5" s="364"/>
      <c r="P5" s="364"/>
      <c r="Q5" s="364"/>
      <c r="R5" s="364"/>
      <c r="S5" s="364"/>
      <c r="T5" s="364"/>
      <c r="U5" s="375">
        <v>12377093</v>
      </c>
      <c r="V5" s="374">
        <f ca="1">H5</f>
        <v>135842</v>
      </c>
      <c r="W5" s="374"/>
      <c r="X5" s="374"/>
      <c r="Y5" s="374"/>
      <c r="Z5" s="374"/>
      <c r="AA5" s="374"/>
      <c r="AB5" s="374"/>
      <c r="AC5" s="374"/>
      <c r="AD5" s="374"/>
      <c r="AE5" s="374"/>
      <c r="AF5" s="374"/>
      <c r="AG5" s="374"/>
      <c r="AH5" s="364"/>
    </row>
    <row r="6" s="359" customFormat="1" ht="69.75" customHeight="1" spans="1:34">
      <c r="A6" s="364" t="s">
        <v>7</v>
      </c>
      <c r="B6" s="364"/>
      <c r="C6" s="368" t="s">
        <v>8</v>
      </c>
      <c r="D6" s="368"/>
      <c r="E6" s="368"/>
      <c r="F6" s="368"/>
      <c r="G6" s="368"/>
      <c r="H6" s="368"/>
      <c r="I6" s="368"/>
      <c r="J6" s="364" t="s">
        <v>9</v>
      </c>
      <c r="K6" s="364"/>
      <c r="L6" s="364"/>
      <c r="M6" s="364"/>
      <c r="N6" s="364"/>
      <c r="O6" s="364"/>
      <c r="P6" s="368" t="s">
        <v>10</v>
      </c>
      <c r="Q6" s="368"/>
      <c r="R6" s="368"/>
      <c r="S6" s="368"/>
      <c r="T6" s="368"/>
      <c r="U6" s="368"/>
      <c r="V6" s="368"/>
      <c r="W6" s="368"/>
      <c r="X6" s="368"/>
      <c r="Y6" s="368"/>
      <c r="Z6" s="364" t="s">
        <v>11</v>
      </c>
      <c r="AA6" s="364"/>
      <c r="AB6" s="364"/>
      <c r="AC6" s="368" t="s">
        <v>12</v>
      </c>
      <c r="AD6" s="368"/>
      <c r="AE6" s="368"/>
      <c r="AF6" s="368"/>
      <c r="AG6" s="368"/>
      <c r="AH6" s="368"/>
    </row>
    <row r="7" s="359" customFormat="1" ht="20.25" customHeight="1" spans="1:36">
      <c r="A7" s="364" t="s">
        <v>0</v>
      </c>
      <c r="B7" s="369" t="s">
        <v>13</v>
      </c>
      <c r="C7" s="369"/>
      <c r="D7" s="369"/>
      <c r="E7" s="369"/>
      <c r="F7" s="369"/>
      <c r="G7" s="369"/>
      <c r="H7" s="369"/>
      <c r="I7" s="369"/>
      <c r="J7" s="369"/>
      <c r="K7" s="369" t="s">
        <v>0</v>
      </c>
      <c r="L7" s="369"/>
      <c r="M7" s="369"/>
      <c r="N7" s="369"/>
      <c r="O7" s="369"/>
      <c r="P7" s="369" t="s">
        <v>13</v>
      </c>
      <c r="Q7" s="369"/>
      <c r="R7" s="369"/>
      <c r="S7" s="369"/>
      <c r="T7" s="369"/>
      <c r="U7" s="369"/>
      <c r="V7" s="369"/>
      <c r="W7" s="369"/>
      <c r="X7" s="369"/>
      <c r="Y7" s="373" t="s">
        <v>0</v>
      </c>
      <c r="Z7" s="373"/>
      <c r="AA7" s="373"/>
      <c r="AB7" s="369" t="s">
        <v>13</v>
      </c>
      <c r="AC7" s="369"/>
      <c r="AD7" s="369"/>
      <c r="AE7" s="369"/>
      <c r="AF7" s="369"/>
      <c r="AG7" s="369"/>
      <c r="AH7" s="369"/>
      <c r="AJ7" s="378"/>
    </row>
    <row r="8" s="359" customFormat="1" ht="41.25" customHeight="1" spans="1:34">
      <c r="A8" s="364" t="s">
        <v>14</v>
      </c>
      <c r="B8" s="364"/>
      <c r="C8" s="368" t="s">
        <v>15</v>
      </c>
      <c r="D8" s="368"/>
      <c r="E8" s="368"/>
      <c r="F8" s="368"/>
      <c r="G8" s="368"/>
      <c r="H8" s="368"/>
      <c r="I8" s="368"/>
      <c r="J8" s="368"/>
      <c r="K8" s="364" t="s">
        <v>14</v>
      </c>
      <c r="L8" s="364"/>
      <c r="M8" s="364"/>
      <c r="N8" s="364"/>
      <c r="O8" s="364"/>
      <c r="P8" s="364"/>
      <c r="Q8" s="364"/>
      <c r="R8" s="368" t="s">
        <v>15</v>
      </c>
      <c r="S8" s="368"/>
      <c r="T8" s="368"/>
      <c r="U8" s="368"/>
      <c r="V8" s="368"/>
      <c r="W8" s="368"/>
      <c r="X8" s="368"/>
      <c r="Y8" s="368"/>
      <c r="Z8" s="364" t="s">
        <v>14</v>
      </c>
      <c r="AA8" s="364"/>
      <c r="AB8" s="364"/>
      <c r="AC8" s="364"/>
      <c r="AD8" s="364"/>
      <c r="AE8" s="368"/>
      <c r="AF8" s="368"/>
      <c r="AG8" s="368"/>
      <c r="AH8" s="368"/>
    </row>
    <row r="9" s="359" customFormat="1" ht="20.25" customHeight="1" spans="1:34">
      <c r="A9" s="364" t="s">
        <v>0</v>
      </c>
      <c r="B9" s="369" t="s">
        <v>16</v>
      </c>
      <c r="C9" s="369"/>
      <c r="D9" s="369"/>
      <c r="E9" s="369"/>
      <c r="F9" s="369"/>
      <c r="G9" s="369"/>
      <c r="H9" s="369"/>
      <c r="I9" s="369" t="s">
        <v>0</v>
      </c>
      <c r="J9" s="369"/>
      <c r="K9" s="369"/>
      <c r="L9" s="369"/>
      <c r="M9" s="369"/>
      <c r="N9" s="369"/>
      <c r="O9" s="369"/>
      <c r="P9" s="369"/>
      <c r="Q9" s="369" t="s">
        <v>16</v>
      </c>
      <c r="R9" s="369"/>
      <c r="S9" s="369"/>
      <c r="T9" s="369"/>
      <c r="U9" s="369"/>
      <c r="V9" s="369"/>
      <c r="W9" s="369"/>
      <c r="X9" s="369"/>
      <c r="Y9" s="369"/>
      <c r="Z9" s="369" t="s">
        <v>0</v>
      </c>
      <c r="AA9" s="369"/>
      <c r="AB9" s="369"/>
      <c r="AC9" s="369"/>
      <c r="AD9" s="369" t="s">
        <v>16</v>
      </c>
      <c r="AE9" s="369"/>
      <c r="AF9" s="369"/>
      <c r="AG9" s="369"/>
      <c r="AH9" s="369"/>
    </row>
    <row r="10" s="359" customFormat="1" ht="49.5" customHeight="1" spans="1:34">
      <c r="A10" s="364" t="s">
        <v>17</v>
      </c>
      <c r="B10" s="364"/>
      <c r="C10" s="368" t="s">
        <v>18</v>
      </c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4" t="s">
        <v>0</v>
      </c>
      <c r="P10" s="364"/>
      <c r="Q10" s="364"/>
      <c r="R10" s="364"/>
      <c r="S10" s="364"/>
      <c r="T10" s="364" t="s">
        <v>19</v>
      </c>
      <c r="U10" s="364"/>
      <c r="V10" s="364"/>
      <c r="W10" s="364"/>
      <c r="X10" s="368" t="s">
        <v>15</v>
      </c>
      <c r="Y10" s="368"/>
      <c r="Z10" s="368"/>
      <c r="AA10" s="368"/>
      <c r="AB10" s="368"/>
      <c r="AC10" s="368"/>
      <c r="AD10" s="368"/>
      <c r="AE10" s="368"/>
      <c r="AF10" s="368"/>
      <c r="AG10" s="368"/>
      <c r="AH10" s="368"/>
    </row>
    <row r="11" s="359" customFormat="1" ht="21.75" customHeight="1" spans="1:34">
      <c r="A11" s="364" t="s">
        <v>0</v>
      </c>
      <c r="B11" s="364"/>
      <c r="C11" s="364"/>
      <c r="D11" s="369"/>
      <c r="E11" s="369"/>
      <c r="F11" s="369"/>
      <c r="G11" s="369"/>
      <c r="H11" s="369"/>
      <c r="I11" s="369"/>
      <c r="J11" s="369"/>
      <c r="K11" s="369"/>
      <c r="L11" s="369"/>
      <c r="M11" s="369"/>
      <c r="N11" s="373" t="s">
        <v>0</v>
      </c>
      <c r="O11" s="373"/>
      <c r="P11" s="373"/>
      <c r="Q11" s="373"/>
      <c r="R11" s="373"/>
      <c r="S11" s="373"/>
      <c r="T11" s="373"/>
      <c r="U11" s="373"/>
      <c r="V11" s="373"/>
      <c r="W11" s="373"/>
      <c r="X11" s="373"/>
      <c r="Y11" s="373"/>
      <c r="Z11" s="373"/>
      <c r="AA11" s="369"/>
      <c r="AB11" s="369"/>
      <c r="AC11" s="369"/>
      <c r="AD11" s="369"/>
      <c r="AE11" s="369"/>
      <c r="AF11" s="369"/>
      <c r="AG11" s="369"/>
      <c r="AH11" s="369"/>
    </row>
    <row r="12" s="359" customFormat="1" ht="31.5" customHeight="1" spans="1:34">
      <c r="A12" s="364" t="s">
        <v>20</v>
      </c>
      <c r="B12" s="364"/>
      <c r="C12" s="364"/>
      <c r="D12" s="364"/>
      <c r="E12" s="364"/>
      <c r="F12" s="364" t="s">
        <v>15</v>
      </c>
      <c r="G12" s="364"/>
      <c r="H12" s="364"/>
      <c r="I12" s="364"/>
      <c r="J12" s="364"/>
      <c r="K12" s="364"/>
      <c r="L12" s="364"/>
      <c r="M12" s="364"/>
      <c r="N12" s="364"/>
      <c r="O12" s="364"/>
      <c r="P12" s="364"/>
      <c r="Q12" s="364"/>
      <c r="R12" s="364"/>
      <c r="S12" s="364"/>
      <c r="T12" s="364"/>
      <c r="U12" s="364"/>
      <c r="V12" s="364"/>
      <c r="W12" s="364"/>
      <c r="X12" s="364"/>
      <c r="Y12" s="364"/>
      <c r="Z12" s="364"/>
      <c r="AA12" s="364" t="s">
        <v>15</v>
      </c>
      <c r="AB12" s="364"/>
      <c r="AC12" s="364"/>
      <c r="AD12" s="364"/>
      <c r="AE12" s="364"/>
      <c r="AF12" s="364"/>
      <c r="AG12" s="364"/>
      <c r="AH12" s="364"/>
    </row>
    <row r="13" s="358" customFormat="1" ht="37" customHeight="1" spans="1:34">
      <c r="A13" s="370" t="s">
        <v>0</v>
      </c>
      <c r="B13" s="370"/>
      <c r="C13" s="370"/>
      <c r="D13" s="370"/>
      <c r="E13" s="370"/>
      <c r="F13" s="371" t="s">
        <v>0</v>
      </c>
      <c r="G13" s="371"/>
      <c r="H13" s="371"/>
      <c r="I13" s="371"/>
      <c r="J13" s="371"/>
      <c r="K13" s="371"/>
      <c r="L13" s="371"/>
      <c r="M13" s="371"/>
      <c r="N13" s="371"/>
      <c r="O13" s="371"/>
      <c r="P13" s="371"/>
      <c r="Q13" s="371"/>
      <c r="R13" s="371"/>
      <c r="S13" s="371"/>
      <c r="T13" s="371"/>
      <c r="U13" s="371"/>
      <c r="V13" s="371"/>
      <c r="W13" s="370" t="s">
        <v>0</v>
      </c>
      <c r="X13" s="370"/>
      <c r="Y13" s="370"/>
      <c r="Z13" s="370"/>
      <c r="AA13" s="377"/>
      <c r="AB13" s="377"/>
      <c r="AC13" s="377"/>
      <c r="AD13" s="377"/>
      <c r="AE13" s="377"/>
      <c r="AF13" s="377"/>
      <c r="AG13" s="377"/>
      <c r="AH13" s="377"/>
    </row>
  </sheetData>
  <mergeCells count="55">
    <mergeCell ref="A1:D1"/>
    <mergeCell ref="E1:AE1"/>
    <mergeCell ref="AF1:AH1"/>
    <mergeCell ref="A2:AH2"/>
    <mergeCell ref="A3:G3"/>
    <mergeCell ref="H3:L3"/>
    <mergeCell ref="M3:U3"/>
    <mergeCell ref="V3:AG3"/>
    <mergeCell ref="A4:F4"/>
    <mergeCell ref="H4:K4"/>
    <mergeCell ref="M4:U4"/>
    <mergeCell ref="V4:AG4"/>
    <mergeCell ref="A5:F5"/>
    <mergeCell ref="H5:K5"/>
    <mergeCell ref="L5:T5"/>
    <mergeCell ref="V5:AG5"/>
    <mergeCell ref="A6:B6"/>
    <mergeCell ref="C6:I6"/>
    <mergeCell ref="J6:O6"/>
    <mergeCell ref="P6:Y6"/>
    <mergeCell ref="Z6:AB6"/>
    <mergeCell ref="AC6:AH6"/>
    <mergeCell ref="B7:J7"/>
    <mergeCell ref="K7:O7"/>
    <mergeCell ref="P7:X7"/>
    <mergeCell ref="Y7:AA7"/>
    <mergeCell ref="AB7:AH7"/>
    <mergeCell ref="A8:B8"/>
    <mergeCell ref="C8:J8"/>
    <mergeCell ref="K8:Q8"/>
    <mergeCell ref="R8:Y8"/>
    <mergeCell ref="Z8:AD8"/>
    <mergeCell ref="AE8:AH8"/>
    <mergeCell ref="B9:H9"/>
    <mergeCell ref="I9:P9"/>
    <mergeCell ref="Q9:Y9"/>
    <mergeCell ref="Z9:AC9"/>
    <mergeCell ref="AD9:AH9"/>
    <mergeCell ref="A10:B10"/>
    <mergeCell ref="C10:N10"/>
    <mergeCell ref="O10:S10"/>
    <mergeCell ref="T10:W10"/>
    <mergeCell ref="X10:AH10"/>
    <mergeCell ref="A11:C11"/>
    <mergeCell ref="D11:M11"/>
    <mergeCell ref="N11:Z11"/>
    <mergeCell ref="AA11:AH11"/>
    <mergeCell ref="A12:E12"/>
    <mergeCell ref="F12:R12"/>
    <mergeCell ref="S12:Z12"/>
    <mergeCell ref="AA12:AH12"/>
    <mergeCell ref="A13:E13"/>
    <mergeCell ref="F13:V13"/>
    <mergeCell ref="W13:Z13"/>
    <mergeCell ref="AA13:AH13"/>
  </mergeCells>
  <pageMargins left="1.57430555555556" right="0.786805555555556" top="0.786805555555556" bottom="0.393055555555556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workbookViewId="0">
      <pane ySplit="4" topLeftCell="A14" activePane="bottomLeft" state="frozenSplit"/>
      <selection/>
      <selection pane="bottomLeft" activeCell="H23" sqref="H23:I23"/>
    </sheetView>
  </sheetViews>
  <sheetFormatPr defaultColWidth="9" defaultRowHeight="13.5"/>
  <cols>
    <col min="1" max="1" width="4.125" style="62" customWidth="1"/>
    <col min="2" max="2" width="31.5" style="66" customWidth="1"/>
    <col min="3" max="3" width="6.625" style="66" customWidth="1"/>
    <col min="4" max="7" width="12.625" style="309" customWidth="1"/>
    <col min="8" max="9" width="12.625" style="310" customWidth="1"/>
    <col min="10" max="11" width="12.625" style="311" customWidth="1"/>
    <col min="12" max="12" width="19.75" style="312" customWidth="1"/>
    <col min="13" max="13" width="12.8" style="66" hidden="1" customWidth="1"/>
    <col min="14" max="14" width="13.75" style="66"/>
    <col min="15" max="15" width="9" style="66"/>
    <col min="16" max="17" width="11.5" style="66"/>
    <col min="18" max="16384" width="9" style="66"/>
  </cols>
  <sheetData>
    <row r="1" ht="37" customHeight="1" spans="1:12">
      <c r="A1" s="313" t="s">
        <v>21</v>
      </c>
      <c r="B1" s="313"/>
      <c r="C1" s="313"/>
      <c r="D1" s="313"/>
      <c r="E1" s="313"/>
      <c r="F1" s="313"/>
      <c r="G1" s="313"/>
      <c r="H1" s="314"/>
      <c r="I1" s="314"/>
      <c r="J1" s="314"/>
      <c r="K1" s="314"/>
      <c r="L1" s="314"/>
    </row>
    <row r="2" ht="19" customHeight="1" spans="1:12">
      <c r="A2" s="315" t="s">
        <v>22</v>
      </c>
      <c r="B2" s="315"/>
      <c r="C2" s="315"/>
      <c r="D2" s="315"/>
      <c r="E2" s="315"/>
      <c r="F2" s="315"/>
      <c r="G2" s="315"/>
      <c r="H2" s="316"/>
      <c r="I2" s="316"/>
      <c r="J2" s="316"/>
      <c r="K2" s="316"/>
      <c r="L2" s="316"/>
    </row>
    <row r="3" ht="19.5" customHeight="1" spans="1:12">
      <c r="A3" s="148" t="s">
        <v>23</v>
      </c>
      <c r="B3" s="148" t="s">
        <v>24</v>
      </c>
      <c r="C3" s="148" t="s">
        <v>25</v>
      </c>
      <c r="D3" s="148" t="s">
        <v>26</v>
      </c>
      <c r="E3" s="148"/>
      <c r="F3" s="148" t="s">
        <v>27</v>
      </c>
      <c r="G3" s="148"/>
      <c r="H3" s="317" t="s">
        <v>28</v>
      </c>
      <c r="I3" s="317"/>
      <c r="J3" s="317" t="s">
        <v>29</v>
      </c>
      <c r="K3" s="317"/>
      <c r="L3" s="317" t="s">
        <v>30</v>
      </c>
    </row>
    <row r="4" ht="19.5" customHeight="1" spans="1:12">
      <c r="A4" s="148"/>
      <c r="B4" s="148"/>
      <c r="C4" s="148"/>
      <c r="D4" s="148" t="s">
        <v>31</v>
      </c>
      <c r="E4" s="148" t="s">
        <v>32</v>
      </c>
      <c r="F4" s="148" t="s">
        <v>31</v>
      </c>
      <c r="G4" s="148" t="s">
        <v>32</v>
      </c>
      <c r="H4" s="317" t="s">
        <v>31</v>
      </c>
      <c r="I4" s="317" t="s">
        <v>32</v>
      </c>
      <c r="J4" s="339" t="s">
        <v>33</v>
      </c>
      <c r="K4" s="339" t="s">
        <v>34</v>
      </c>
      <c r="L4" s="317"/>
    </row>
    <row r="5" s="307" customFormat="1" ht="19.5" customHeight="1" spans="1:12">
      <c r="A5" s="279"/>
      <c r="B5" s="148" t="str">
        <f>结算审核明细表!B6</f>
        <v>第一部分 建筑工程</v>
      </c>
      <c r="C5" s="318"/>
      <c r="D5" s="319">
        <f>结算审核明细表!G6</f>
        <v>362627.08</v>
      </c>
      <c r="E5" s="319"/>
      <c r="F5" s="319">
        <f>结算审核明细表!L6</f>
        <v>420666.26</v>
      </c>
      <c r="G5" s="319"/>
      <c r="H5" s="320">
        <f ca="1">H6+H7+H8+H9+H10+H11</f>
        <v>324644.79972373</v>
      </c>
      <c r="I5" s="320"/>
      <c r="J5" s="320">
        <f ca="1">SUM(J6:J11)</f>
        <v>-37982.2802762696</v>
      </c>
      <c r="K5" s="320">
        <f ca="1">SUM(K6:K11)</f>
        <v>-96021.4602762696</v>
      </c>
      <c r="L5" s="340"/>
    </row>
    <row r="6" s="308" customFormat="1" ht="19.5" customHeight="1" spans="1:12">
      <c r="A6" s="215" t="str">
        <f>结算审核明细表!A7</f>
        <v>一</v>
      </c>
      <c r="B6" s="321" t="str">
        <f>结算审核明细表!B7</f>
        <v>输水工程</v>
      </c>
      <c r="C6" s="322"/>
      <c r="D6" s="323">
        <f>结算审核明细表!G7</f>
        <v>1000</v>
      </c>
      <c r="E6" s="323"/>
      <c r="F6" s="323">
        <f>结算审核明细表!L7</f>
        <v>0</v>
      </c>
      <c r="G6" s="323"/>
      <c r="H6" s="324">
        <f>结算审核明细表!Q7</f>
        <v>0</v>
      </c>
      <c r="I6" s="324"/>
      <c r="J6" s="341">
        <f t="shared" ref="J6:J11" si="0">H6+I6-D6-E6</f>
        <v>-1000</v>
      </c>
      <c r="K6" s="341">
        <f t="shared" ref="K6:K11" si="1">H6+I6-F6-G6</f>
        <v>0</v>
      </c>
      <c r="L6" s="342"/>
    </row>
    <row r="7" s="308" customFormat="1" ht="19.5" customHeight="1" spans="1:12">
      <c r="A7" s="215" t="str">
        <f>结算审核明细表!A9</f>
        <v>二</v>
      </c>
      <c r="B7" s="321" t="str">
        <f>结算审核明细表!B9</f>
        <v>水厂工程</v>
      </c>
      <c r="C7" s="322"/>
      <c r="D7" s="323">
        <f>结算审核明细表!G9</f>
        <v>280878.01</v>
      </c>
      <c r="E7" s="323"/>
      <c r="F7" s="325">
        <f>结算审核明细表!L9</f>
        <v>146235.11</v>
      </c>
      <c r="G7" s="323"/>
      <c r="H7" s="324">
        <f ca="1">结算审核明细表!Q9</f>
        <v>119672.726437643</v>
      </c>
      <c r="I7" s="324"/>
      <c r="J7" s="341">
        <f ca="1" t="shared" si="0"/>
        <v>-161205.283562357</v>
      </c>
      <c r="K7" s="341">
        <f ca="1" t="shared" si="1"/>
        <v>-26562.3835623565</v>
      </c>
      <c r="L7" s="343"/>
    </row>
    <row r="8" s="308" customFormat="1" ht="19.5" customHeight="1" spans="1:12">
      <c r="A8" s="215" t="str">
        <f>结算审核明细表!A88</f>
        <v>三</v>
      </c>
      <c r="B8" s="321" t="str">
        <f>结算审核明细表!B88</f>
        <v>新增两个三米内径水池及附属工程</v>
      </c>
      <c r="C8" s="322"/>
      <c r="D8" s="323">
        <f>结算审核明细表!G88</f>
        <v>52906.55</v>
      </c>
      <c r="E8" s="323"/>
      <c r="F8" s="323">
        <f>结算审核明细表!L88</f>
        <v>22559.12</v>
      </c>
      <c r="G8" s="323"/>
      <c r="H8" s="324">
        <f ca="1">结算审核明细表!Q88</f>
        <v>20385.698913124</v>
      </c>
      <c r="I8" s="324"/>
      <c r="J8" s="341">
        <f ca="1" t="shared" si="0"/>
        <v>-32520.851086876</v>
      </c>
      <c r="K8" s="341">
        <f ca="1" t="shared" si="1"/>
        <v>-2173.42108687604</v>
      </c>
      <c r="L8" s="342"/>
    </row>
    <row r="9" customFormat="1" ht="19.5" customHeight="1" spans="1:12">
      <c r="A9" s="215" t="str">
        <f>结算审核明细表!A140</f>
        <v>四</v>
      </c>
      <c r="B9" s="321" t="str">
        <f>结算审核明细表!B140</f>
        <v>新增泵房</v>
      </c>
      <c r="C9" s="326"/>
      <c r="D9" s="323">
        <f>结算审核明细表!G140</f>
        <v>26069.08</v>
      </c>
      <c r="E9" s="323"/>
      <c r="F9" s="325">
        <f>结算审核明细表!L140</f>
        <v>31282.03</v>
      </c>
      <c r="G9" s="323"/>
      <c r="H9" s="324">
        <f ca="1">结算审核明细表!Q140</f>
        <v>16344.0370795826</v>
      </c>
      <c r="I9" s="324"/>
      <c r="J9" s="341">
        <f ca="1" t="shared" si="0"/>
        <v>-9725.04292041744</v>
      </c>
      <c r="K9" s="341">
        <f ca="1" t="shared" si="1"/>
        <v>-14937.9929204174</v>
      </c>
      <c r="L9" s="344"/>
    </row>
    <row r="10" customFormat="1" ht="19.5" customHeight="1" spans="1:12">
      <c r="A10" s="327" t="str">
        <f>结算审核明细表!A157</f>
        <v>五</v>
      </c>
      <c r="B10" s="321" t="str">
        <f>结算审核明细表!B157</f>
        <v>配水工程</v>
      </c>
      <c r="C10" s="326"/>
      <c r="D10" s="323">
        <f>结算审核明细表!G157</f>
        <v>1773.44</v>
      </c>
      <c r="E10" s="323"/>
      <c r="F10" s="323">
        <f>结算审核明细表!L157</f>
        <v>0</v>
      </c>
      <c r="G10" s="323"/>
      <c r="H10" s="324">
        <f ca="1">结算审核明细表!Q157</f>
        <v>0</v>
      </c>
      <c r="I10" s="324"/>
      <c r="J10" s="341">
        <f ca="1" t="shared" si="0"/>
        <v>-1773.44</v>
      </c>
      <c r="K10" s="341">
        <f ca="1" t="shared" si="1"/>
        <v>0</v>
      </c>
      <c r="L10" s="345"/>
    </row>
    <row r="11" customFormat="1" ht="19.5" customHeight="1" spans="1:12">
      <c r="A11" s="215" t="str">
        <f>结算审核明细表!A160</f>
        <v>新增</v>
      </c>
      <c r="B11" s="321" t="str">
        <f>结算审核明细表!B160</f>
        <v>沟槽开挖、回填</v>
      </c>
      <c r="C11" s="326"/>
      <c r="D11" s="323"/>
      <c r="E11" s="323"/>
      <c r="F11" s="323">
        <f>结算审核明细表!L160</f>
        <v>220590</v>
      </c>
      <c r="G11" s="323"/>
      <c r="H11" s="320">
        <f ca="1">结算审核明细表!Q160</f>
        <v>168242.33729338</v>
      </c>
      <c r="I11" s="324"/>
      <c r="J11" s="341">
        <f ca="1" t="shared" si="0"/>
        <v>168242.33729338</v>
      </c>
      <c r="K11" s="341">
        <f ca="1" t="shared" si="1"/>
        <v>-52347.6627066196</v>
      </c>
      <c r="L11" s="346"/>
    </row>
    <row r="12" customFormat="1" ht="19.5" customHeight="1" spans="1:12">
      <c r="A12" s="148"/>
      <c r="B12" s="148" t="str">
        <f>结算审核明细表!B166</f>
        <v>第二部分 机电设备安装工程</v>
      </c>
      <c r="C12" s="328"/>
      <c r="D12" s="319">
        <f>结算审核明细表!G166</f>
        <v>583063.64</v>
      </c>
      <c r="E12" s="319">
        <f>结算审核明细表!H166</f>
        <v>125364</v>
      </c>
      <c r="F12" s="319">
        <f>结算审核明细表!L166</f>
        <v>499686.04</v>
      </c>
      <c r="G12" s="319">
        <f>结算审核明细表!M166</f>
        <v>94981.88</v>
      </c>
      <c r="H12" s="320">
        <f ca="1" t="shared" ref="H12:K12" si="2">SUM(H13:H17)</f>
        <v>486793.712972973</v>
      </c>
      <c r="I12" s="320">
        <f ca="1" t="shared" si="2"/>
        <v>86685.0662810811</v>
      </c>
      <c r="J12" s="320">
        <f ca="1" t="shared" si="2"/>
        <v>-134948.860745946</v>
      </c>
      <c r="K12" s="320">
        <f ca="1" t="shared" si="2"/>
        <v>-21189.1407459459</v>
      </c>
      <c r="L12" s="346"/>
    </row>
    <row r="13" customFormat="1" ht="19.5" customHeight="1" spans="1:12">
      <c r="A13" s="215" t="str">
        <f>结算审核明细表!A167</f>
        <v>一</v>
      </c>
      <c r="B13" s="321" t="str">
        <f>结算审核明细表!B167</f>
        <v>新增泵房及附属设备</v>
      </c>
      <c r="C13" s="326"/>
      <c r="D13" s="323">
        <f>结算审核明细表!G167</f>
        <v>96600</v>
      </c>
      <c r="E13" s="323">
        <f>结算审核明细表!H167</f>
        <v>11064</v>
      </c>
      <c r="F13" s="323">
        <f>结算审核明细表!L167</f>
        <v>65780</v>
      </c>
      <c r="G13" s="323">
        <f>结算审核明细表!M167</f>
        <v>3000</v>
      </c>
      <c r="H13" s="324">
        <f ca="1">结算审核明细表!Q167</f>
        <v>82180</v>
      </c>
      <c r="I13" s="324">
        <f ca="1">结算审核明细表!R167</f>
        <v>10285.532972973</v>
      </c>
      <c r="J13" s="341">
        <f ca="1">H13+I13-D13-E13</f>
        <v>-15198.467027027</v>
      </c>
      <c r="K13" s="341">
        <f ca="1">H13+I13-F13-G13</f>
        <v>23685.532972973</v>
      </c>
      <c r="L13" s="347" t="s">
        <v>35</v>
      </c>
    </row>
    <row r="14" customFormat="1" ht="19.5" customHeight="1" spans="1:12">
      <c r="A14" s="215" t="str">
        <f>结算审核明细表!A174</f>
        <v>二 </v>
      </c>
      <c r="B14" s="321" t="str">
        <f>结算审核明细表!B174</f>
        <v>输水工程</v>
      </c>
      <c r="C14" s="326"/>
      <c r="D14" s="323">
        <f>结算审核明细表!G174</f>
        <v>110750</v>
      </c>
      <c r="E14" s="323">
        <f>结算审核明细表!H174</f>
        <v>36750</v>
      </c>
      <c r="F14" s="323">
        <f>结算审核明细表!L174</f>
        <v>152750</v>
      </c>
      <c r="G14" s="323">
        <f>结算审核明细表!M174</f>
        <v>46550</v>
      </c>
      <c r="H14" s="324">
        <f ca="1">结算审核明细表!Q174</f>
        <v>124750</v>
      </c>
      <c r="I14" s="324">
        <f ca="1">结算审核明细表!R174</f>
        <v>34164.2567567568</v>
      </c>
      <c r="J14" s="341">
        <f ca="1">H14+I14-D14-E14</f>
        <v>11414.2567567568</v>
      </c>
      <c r="K14" s="341">
        <f ca="1">H14+I14-F14-G14</f>
        <v>-40385.7432432432</v>
      </c>
      <c r="L14" s="347" t="s">
        <v>35</v>
      </c>
    </row>
    <row r="15" customFormat="1" ht="19.5" customHeight="1" spans="1:12">
      <c r="A15" s="215" t="str">
        <f>结算审核明细表!A179</f>
        <v>三</v>
      </c>
      <c r="B15" s="321" t="str">
        <f>结算审核明细表!B179</f>
        <v>净水工程</v>
      </c>
      <c r="C15" s="326"/>
      <c r="D15" s="323">
        <f>结算审核明细表!G179</f>
        <v>30350</v>
      </c>
      <c r="E15" s="323"/>
      <c r="F15" s="323">
        <f>结算审核明细表!L179</f>
        <v>66830</v>
      </c>
      <c r="G15" s="323"/>
      <c r="H15" s="324">
        <f ca="1">结算审核明细表!Q179</f>
        <v>66776.0153153153</v>
      </c>
      <c r="I15" s="324"/>
      <c r="J15" s="341">
        <f ca="1">H15+I15-D15-E15</f>
        <v>36426.0153153153</v>
      </c>
      <c r="K15" s="341">
        <f ca="1">H15+I15-F15-G15</f>
        <v>-53.9846846846922</v>
      </c>
      <c r="L15" s="347" t="s">
        <v>36</v>
      </c>
    </row>
    <row r="16" customFormat="1" ht="19.5" customHeight="1" spans="1:12">
      <c r="A16" s="215" t="str">
        <f>结算审核明细表!A186</f>
        <v>四</v>
      </c>
      <c r="B16" s="321" t="str">
        <f>结算审核明细表!B186</f>
        <v>配水工程</v>
      </c>
      <c r="C16" s="326"/>
      <c r="D16" s="323">
        <f>结算审核明细表!G186</f>
        <v>345363.64</v>
      </c>
      <c r="E16" s="323">
        <f>结算审核明细表!H186</f>
        <v>77550</v>
      </c>
      <c r="F16" s="323">
        <f>结算审核明细表!L186</f>
        <v>196726.04</v>
      </c>
      <c r="G16" s="323">
        <f>结算审核明细表!M186</f>
        <v>45431.88</v>
      </c>
      <c r="H16" s="324">
        <f ca="1">结算审核明细表!Q186</f>
        <v>196726.04</v>
      </c>
      <c r="I16" s="324">
        <f ca="1">结算审核明细表!R186</f>
        <v>42235.2765513513</v>
      </c>
      <c r="J16" s="341">
        <f ca="1">H16+I16-D16-E16</f>
        <v>-183952.323448649</v>
      </c>
      <c r="K16" s="341">
        <f ca="1">H16+I16-F16-G16</f>
        <v>-3196.60344864867</v>
      </c>
      <c r="L16" s="348" t="s">
        <v>36</v>
      </c>
    </row>
    <row r="17" customFormat="1" ht="19.5" customHeight="1" spans="1:12">
      <c r="A17" s="215" t="str">
        <f>结算审核明细表!A194</f>
        <v>五</v>
      </c>
      <c r="B17" s="321" t="str">
        <f>结算审核明细表!B194</f>
        <v>四社增加工程</v>
      </c>
      <c r="C17" s="326"/>
      <c r="D17" s="323"/>
      <c r="E17" s="323"/>
      <c r="F17" s="323">
        <f>结算审核明细表!L194</f>
        <v>17600</v>
      </c>
      <c r="G17" s="323"/>
      <c r="H17" s="324">
        <f ca="1">结算审核明细表!Q194</f>
        <v>16361.6576576577</v>
      </c>
      <c r="I17" s="324"/>
      <c r="J17" s="341">
        <f ca="1">H17+I17-D17-E17</f>
        <v>16361.6576576577</v>
      </c>
      <c r="K17" s="341">
        <f ca="1">H17+I17-F17-G17</f>
        <v>-1238.34234234234</v>
      </c>
      <c r="L17" s="347" t="s">
        <v>36</v>
      </c>
    </row>
    <row r="18" customFormat="1" ht="24" customHeight="1" spans="1:12">
      <c r="A18" s="329"/>
      <c r="B18" s="148" t="s">
        <v>37</v>
      </c>
      <c r="C18" s="328"/>
      <c r="D18" s="330">
        <f>结算审核明细表!D199</f>
        <v>16601.35</v>
      </c>
      <c r="E18" s="331"/>
      <c r="F18" s="330">
        <f>结算审核明细表!I199</f>
        <v>16601.35</v>
      </c>
      <c r="G18" s="331"/>
      <c r="H18" s="332">
        <f>结算审核明细表!N199</f>
        <v>16600</v>
      </c>
      <c r="I18" s="349"/>
      <c r="J18" s="350">
        <f t="shared" ref="J18:J24" si="3">H18-D18</f>
        <v>-1.34999999999854</v>
      </c>
      <c r="K18" s="350">
        <f t="shared" ref="K18:K24" si="4">H18-F18</f>
        <v>-1.34999999999854</v>
      </c>
      <c r="L18" s="346"/>
    </row>
    <row r="19" ht="26" customHeight="1" spans="1:12">
      <c r="A19" s="327"/>
      <c r="B19" s="189" t="s">
        <v>38</v>
      </c>
      <c r="C19" s="326"/>
      <c r="D19" s="333">
        <f>D5+D12+E12+D18</f>
        <v>1087656.07</v>
      </c>
      <c r="E19" s="333"/>
      <c r="F19" s="320">
        <f>(F5+G5+F12+G12+F18)</f>
        <v>1031935.53</v>
      </c>
      <c r="G19" s="320"/>
      <c r="H19" s="320">
        <f ca="1">H5+I5+H12+I12+H18</f>
        <v>914723.578977784</v>
      </c>
      <c r="I19" s="320"/>
      <c r="J19" s="350">
        <f ca="1" t="shared" si="3"/>
        <v>-172932.491022216</v>
      </c>
      <c r="K19" s="350">
        <f ca="1" t="shared" si="4"/>
        <v>-117211.951022216</v>
      </c>
      <c r="L19" s="351" t="s">
        <v>39</v>
      </c>
    </row>
    <row r="20" ht="24" customHeight="1" spans="1:12">
      <c r="A20" s="327"/>
      <c r="B20" s="334" t="s">
        <v>40</v>
      </c>
      <c r="C20" s="326"/>
      <c r="D20" s="333">
        <f t="shared" ref="D20:H20" si="5">D16</f>
        <v>345363.64</v>
      </c>
      <c r="E20" s="333"/>
      <c r="F20" s="333">
        <f t="shared" si="5"/>
        <v>196726.04</v>
      </c>
      <c r="G20" s="333"/>
      <c r="H20" s="320">
        <f ca="1" t="shared" si="5"/>
        <v>196726.04</v>
      </c>
      <c r="I20" s="320"/>
      <c r="J20" s="350">
        <f ca="1" t="shared" si="3"/>
        <v>-148637.6</v>
      </c>
      <c r="K20" s="350">
        <f ca="1" t="shared" si="4"/>
        <v>0</v>
      </c>
      <c r="L20" s="352" t="s">
        <v>41</v>
      </c>
    </row>
    <row r="21" ht="24" customHeight="1" spans="1:12">
      <c r="A21" s="335"/>
      <c r="B21" s="334" t="s">
        <v>42</v>
      </c>
      <c r="C21" s="326"/>
      <c r="D21" s="333">
        <f t="shared" ref="D21:H21" si="6">D18</f>
        <v>16601.35</v>
      </c>
      <c r="E21" s="333"/>
      <c r="F21" s="333">
        <f t="shared" si="6"/>
        <v>16601.35</v>
      </c>
      <c r="G21" s="333"/>
      <c r="H21" s="320">
        <f t="shared" si="6"/>
        <v>16600</v>
      </c>
      <c r="I21" s="320"/>
      <c r="J21" s="350">
        <f t="shared" si="3"/>
        <v>-1.34999999999854</v>
      </c>
      <c r="K21" s="350">
        <f t="shared" si="4"/>
        <v>-1.34999999999854</v>
      </c>
      <c r="L21" s="353"/>
    </row>
    <row r="22" ht="45" customHeight="1" spans="1:12">
      <c r="A22" s="335"/>
      <c r="B22" s="334" t="s">
        <v>43</v>
      </c>
      <c r="C22" s="326"/>
      <c r="D22" s="333"/>
      <c r="E22" s="333"/>
      <c r="F22" s="333"/>
      <c r="G22" s="333"/>
      <c r="H22" s="320">
        <f ca="1">-(H5+H13+H14)/1.11*0.01</f>
        <v>-4788.96215967325</v>
      </c>
      <c r="I22" s="320"/>
      <c r="J22" s="350">
        <f ca="1" t="shared" si="3"/>
        <v>-4788.96215967325</v>
      </c>
      <c r="K22" s="350">
        <f ca="1" t="shared" si="4"/>
        <v>-4788.96215967325</v>
      </c>
      <c r="L22" s="354" t="s">
        <v>44</v>
      </c>
    </row>
    <row r="23" ht="24" customHeight="1" spans="1:12">
      <c r="A23" s="335"/>
      <c r="B23" s="334" t="s">
        <v>45</v>
      </c>
      <c r="C23" s="326"/>
      <c r="D23" s="330">
        <f>-(D19-D20-D21)*L23</f>
        <v>-14420.1517663407</v>
      </c>
      <c r="E23" s="331"/>
      <c r="F23" s="330"/>
      <c r="G23" s="331"/>
      <c r="H23" s="332">
        <f ca="1">-(H19-H20-H21+H22)*L23</f>
        <v>-13842.2555771965</v>
      </c>
      <c r="I23" s="349"/>
      <c r="J23" s="350">
        <f ca="1" t="shared" si="3"/>
        <v>577.89618914415</v>
      </c>
      <c r="K23" s="350">
        <f ca="1" t="shared" si="4"/>
        <v>-13842.2555771965</v>
      </c>
      <c r="L23" s="355">
        <f>1-52.834/((D19-D20-D21-D8-D9-D13-E13)/10000)</f>
        <v>0.0198709232671576</v>
      </c>
    </row>
    <row r="24" ht="25" customHeight="1" spans="1:14">
      <c r="A24" s="335"/>
      <c r="B24" s="282" t="s">
        <v>46</v>
      </c>
      <c r="C24" s="326"/>
      <c r="D24" s="333">
        <f>ROUND(D19-(D20+D21-D23-D22),0)</f>
        <v>711271</v>
      </c>
      <c r="E24" s="333"/>
      <c r="F24" s="333">
        <f>ROUND(F19-F20-F21,0)</f>
        <v>818608</v>
      </c>
      <c r="G24" s="333"/>
      <c r="H24" s="320">
        <f ca="1">ROUND(H19-(H20+H21-H23-H22),0)</f>
        <v>682766</v>
      </c>
      <c r="I24" s="320"/>
      <c r="J24" s="350">
        <f ca="1" t="shared" si="3"/>
        <v>-28505</v>
      </c>
      <c r="K24" s="350">
        <f ca="1" t="shared" si="4"/>
        <v>-135842</v>
      </c>
      <c r="L24" s="356">
        <f ca="1">(H24-F24)/F24</f>
        <v>-0.165942673416336</v>
      </c>
      <c r="N24" s="357"/>
    </row>
    <row r="25" ht="33" customHeight="1" spans="8:9">
      <c r="H25" s="336"/>
      <c r="I25" s="338"/>
    </row>
    <row r="26" spans="8:8">
      <c r="H26" s="337"/>
    </row>
    <row r="28" spans="8:8">
      <c r="H28" s="338"/>
    </row>
  </sheetData>
  <mergeCells count="32">
    <mergeCell ref="A1:L1"/>
    <mergeCell ref="A2:L2"/>
    <mergeCell ref="D3:E3"/>
    <mergeCell ref="F3:G3"/>
    <mergeCell ref="H3:I3"/>
    <mergeCell ref="J3:K3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D22:E22"/>
    <mergeCell ref="F22:G22"/>
    <mergeCell ref="H22:I22"/>
    <mergeCell ref="D23:E23"/>
    <mergeCell ref="F23:G23"/>
    <mergeCell ref="H23:I23"/>
    <mergeCell ref="D24:E24"/>
    <mergeCell ref="F24:G24"/>
    <mergeCell ref="H24:I24"/>
    <mergeCell ref="A3:A4"/>
    <mergeCell ref="B3:B4"/>
    <mergeCell ref="C3:C4"/>
    <mergeCell ref="L3:L4"/>
    <mergeCell ref="L20:L21"/>
  </mergeCells>
  <printOptions horizontalCentered="1"/>
  <pageMargins left="0.314583333333333" right="0.275" top="0.314583333333333" bottom="0.629861111111111" header="0.196527777777778" footer="0.393055555555556"/>
  <pageSetup paperSize="9" scale="88" fitToHeight="0" orientation="landscape" horizontalDpi="600"/>
  <headerFooter>
    <oddHeader>&amp;R&amp;"仿宋"&amp;10
&amp;B
第 &amp;P 页，共 &amp;N 页</oddHeader>
    <oddFooter>&amp;L&amp;"楷体"&amp;12&amp;B建设单位：&amp;C&amp;"楷体"&amp;12&amp;B施工单位：&amp;R&amp;"楷体"&amp;12&amp;B审核单位：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22"/>
  <sheetViews>
    <sheetView workbookViewId="0">
      <pane ySplit="5" topLeftCell="A199" activePane="bottomLeft" state="frozen"/>
      <selection/>
      <selection pane="bottomLeft" activeCell="N200" sqref="N200:Q200"/>
    </sheetView>
  </sheetViews>
  <sheetFormatPr defaultColWidth="9" defaultRowHeight="16.5" customHeight="1"/>
  <cols>
    <col min="1" max="1" width="6.5" style="122" customWidth="1"/>
    <col min="2" max="2" width="33.625" style="125" customWidth="1"/>
    <col min="3" max="3" width="5" style="195" customWidth="1"/>
    <col min="4" max="6" width="8.625" style="196" hidden="1" customWidth="1"/>
    <col min="7" max="7" width="10.125" style="196" hidden="1" customWidth="1"/>
    <col min="8" max="8" width="9.5" style="196" hidden="1" customWidth="1"/>
    <col min="9" max="11" width="9.75" style="196" customWidth="1"/>
    <col min="12" max="12" width="10.25" style="196" customWidth="1"/>
    <col min="13" max="13" width="11.125" style="196" customWidth="1"/>
    <col min="14" max="14" width="9.75" style="128" customWidth="1"/>
    <col min="15" max="15" width="8.75" style="197" customWidth="1"/>
    <col min="16" max="16" width="8.375" style="197" customWidth="1"/>
    <col min="17" max="18" width="10.125" style="197" customWidth="1"/>
    <col min="19" max="20" width="12.25" style="198" customWidth="1"/>
    <col min="21" max="21" width="21.5" style="199" customWidth="1"/>
    <col min="22" max="22" width="15.375" style="123" customWidth="1"/>
    <col min="23" max="23" width="10.125" style="123" customWidth="1"/>
    <col min="24" max="24" width="9.25" style="123" customWidth="1"/>
    <col min="25" max="25" width="9.625" style="123"/>
    <col min="26" max="16384" width="9" style="123"/>
  </cols>
  <sheetData>
    <row r="1" s="119" customFormat="1" ht="31" customHeight="1" spans="1:21">
      <c r="A1" s="200" t="s">
        <v>47</v>
      </c>
      <c r="B1" s="201"/>
      <c r="C1" s="202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25"/>
      <c r="O1" s="226"/>
      <c r="P1" s="226"/>
      <c r="Q1" s="226"/>
      <c r="R1" s="226"/>
      <c r="S1" s="226"/>
      <c r="T1" s="226"/>
      <c r="U1" s="245"/>
    </row>
    <row r="2" s="119" customFormat="1" customHeight="1" spans="1:21">
      <c r="A2" s="204" t="s">
        <v>22</v>
      </c>
      <c r="B2" s="204"/>
      <c r="C2" s="204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27"/>
      <c r="P2" s="227"/>
      <c r="Q2" s="227"/>
      <c r="R2" s="227"/>
      <c r="S2" s="246"/>
      <c r="T2" s="246"/>
      <c r="U2" s="204"/>
    </row>
    <row r="3" s="192" customFormat="1" customHeight="1" spans="1:21">
      <c r="A3" s="206" t="s">
        <v>48</v>
      </c>
      <c r="B3" s="148" t="s">
        <v>24</v>
      </c>
      <c r="C3" s="148" t="s">
        <v>25</v>
      </c>
      <c r="D3" s="207" t="s">
        <v>49</v>
      </c>
      <c r="E3" s="207"/>
      <c r="F3" s="207"/>
      <c r="G3" s="207"/>
      <c r="H3" s="207"/>
      <c r="I3" s="207" t="s">
        <v>50</v>
      </c>
      <c r="J3" s="207"/>
      <c r="K3" s="207"/>
      <c r="L3" s="207"/>
      <c r="M3" s="207"/>
      <c r="N3" s="207" t="s">
        <v>51</v>
      </c>
      <c r="O3" s="228"/>
      <c r="P3" s="228"/>
      <c r="Q3" s="228"/>
      <c r="R3" s="228"/>
      <c r="S3" s="207" t="s">
        <v>29</v>
      </c>
      <c r="T3" s="207"/>
      <c r="U3" s="247" t="s">
        <v>52</v>
      </c>
    </row>
    <row r="4" s="192" customFormat="1" customHeight="1" spans="1:21">
      <c r="A4" s="206"/>
      <c r="B4" s="148"/>
      <c r="C4" s="148"/>
      <c r="D4" s="208" t="s">
        <v>53</v>
      </c>
      <c r="E4" s="207" t="s">
        <v>54</v>
      </c>
      <c r="F4" s="207"/>
      <c r="G4" s="207" t="s">
        <v>55</v>
      </c>
      <c r="H4" s="207"/>
      <c r="I4" s="208" t="s">
        <v>53</v>
      </c>
      <c r="J4" s="207" t="s">
        <v>54</v>
      </c>
      <c r="K4" s="207"/>
      <c r="L4" s="207" t="s">
        <v>55</v>
      </c>
      <c r="M4" s="207"/>
      <c r="N4" s="208" t="s">
        <v>53</v>
      </c>
      <c r="O4" s="228" t="s">
        <v>54</v>
      </c>
      <c r="P4" s="228"/>
      <c r="Q4" s="228" t="s">
        <v>55</v>
      </c>
      <c r="R4" s="228"/>
      <c r="S4" s="208" t="s">
        <v>33</v>
      </c>
      <c r="T4" s="208" t="s">
        <v>56</v>
      </c>
      <c r="U4" s="248"/>
    </row>
    <row r="5" s="192" customFormat="1" customHeight="1" spans="1:21">
      <c r="A5" s="206"/>
      <c r="B5" s="148"/>
      <c r="C5" s="148"/>
      <c r="D5" s="208"/>
      <c r="E5" s="207" t="s">
        <v>31</v>
      </c>
      <c r="F5" s="207" t="s">
        <v>32</v>
      </c>
      <c r="G5" s="207" t="s">
        <v>31</v>
      </c>
      <c r="H5" s="207" t="s">
        <v>32</v>
      </c>
      <c r="I5" s="208"/>
      <c r="J5" s="207" t="s">
        <v>31</v>
      </c>
      <c r="K5" s="207" t="s">
        <v>32</v>
      </c>
      <c r="L5" s="207" t="s">
        <v>31</v>
      </c>
      <c r="M5" s="207" t="s">
        <v>32</v>
      </c>
      <c r="N5" s="208"/>
      <c r="O5" s="228" t="s">
        <v>31</v>
      </c>
      <c r="P5" s="228" t="s">
        <v>32</v>
      </c>
      <c r="Q5" s="228" t="s">
        <v>31</v>
      </c>
      <c r="R5" s="228" t="s">
        <v>32</v>
      </c>
      <c r="S5" s="208"/>
      <c r="T5" s="208"/>
      <c r="U5" s="249"/>
    </row>
    <row r="6" s="192" customFormat="1" ht="17" customHeight="1" spans="1:21">
      <c r="A6" s="209"/>
      <c r="B6" s="209" t="s">
        <v>57</v>
      </c>
      <c r="C6" s="152"/>
      <c r="D6" s="210"/>
      <c r="E6" s="210"/>
      <c r="F6" s="210"/>
      <c r="G6" s="210">
        <v>362627.08</v>
      </c>
      <c r="H6" s="210"/>
      <c r="I6" s="210"/>
      <c r="J6" s="229"/>
      <c r="K6" s="229"/>
      <c r="L6" s="210">
        <f>L7+L9+L88+L140+L157+L160</f>
        <v>420666.26</v>
      </c>
      <c r="M6" s="210"/>
      <c r="N6" s="230"/>
      <c r="O6" s="231"/>
      <c r="P6" s="232"/>
      <c r="Q6" s="232">
        <f ca="1" t="shared" ref="Q6:T6" si="0">Q7+Q9+Q88+Q140+Q157+Q160</f>
        <v>324644.79972373</v>
      </c>
      <c r="R6" s="250"/>
      <c r="S6" s="210">
        <f ca="1" t="shared" si="0"/>
        <v>-36982.2802762696</v>
      </c>
      <c r="T6" s="210">
        <f ca="1" t="shared" si="0"/>
        <v>-96021.4502762696</v>
      </c>
      <c r="U6" s="178"/>
    </row>
    <row r="7" s="122" customFormat="1" ht="17" customHeight="1" spans="1:21">
      <c r="A7" s="211" t="str">
        <f>工程量核对表!A6</f>
        <v>一</v>
      </c>
      <c r="B7" s="212" t="str">
        <f>工程量核对表!B6</f>
        <v>输水工程</v>
      </c>
      <c r="C7" s="213"/>
      <c r="D7" s="214"/>
      <c r="E7" s="214"/>
      <c r="F7" s="214"/>
      <c r="G7" s="214">
        <v>1000</v>
      </c>
      <c r="H7" s="214"/>
      <c r="I7" s="214"/>
      <c r="J7" s="233"/>
      <c r="K7" s="233"/>
      <c r="L7" s="214"/>
      <c r="M7" s="214"/>
      <c r="N7" s="234"/>
      <c r="O7" s="235"/>
      <c r="P7" s="236"/>
      <c r="Q7" s="236"/>
      <c r="R7" s="251"/>
      <c r="S7" s="235"/>
      <c r="T7" s="235"/>
      <c r="U7" s="252"/>
    </row>
    <row r="8" s="122" customFormat="1" ht="17" customHeight="1" spans="1:21">
      <c r="A8" s="215">
        <f>工程量核对表!A7</f>
        <v>1</v>
      </c>
      <c r="B8" s="216" t="str">
        <f>工程量核对表!B7</f>
        <v>C20砼镇支墩</v>
      </c>
      <c r="C8" s="158" t="str">
        <f>工程量核对表!C7</f>
        <v>个</v>
      </c>
      <c r="D8" s="217">
        <v>2</v>
      </c>
      <c r="E8" s="217">
        <v>500</v>
      </c>
      <c r="F8" s="217"/>
      <c r="G8" s="217">
        <v>1000</v>
      </c>
      <c r="H8" s="217"/>
      <c r="I8" s="217"/>
      <c r="J8" s="237"/>
      <c r="K8" s="237"/>
      <c r="L8" s="217"/>
      <c r="M8" s="217"/>
      <c r="N8" s="238">
        <f ca="1">工程量核对表!F7</f>
        <v>0</v>
      </c>
      <c r="O8" s="239">
        <f>E8</f>
        <v>500</v>
      </c>
      <c r="P8" s="239"/>
      <c r="Q8" s="224">
        <f ca="1">N8*O8</f>
        <v>0</v>
      </c>
      <c r="R8" s="253"/>
      <c r="S8" s="239">
        <f ca="1">Q8-G8</f>
        <v>-1000</v>
      </c>
      <c r="T8" s="238">
        <f ca="1">Q8-L8</f>
        <v>0</v>
      </c>
      <c r="U8" s="179"/>
    </row>
    <row r="9" s="122" customFormat="1" ht="17" customHeight="1" spans="1:21">
      <c r="A9" s="211" t="str">
        <f>工程量核对表!A8</f>
        <v>二</v>
      </c>
      <c r="B9" s="212" t="str">
        <f>工程量核对表!B8</f>
        <v>水厂工程</v>
      </c>
      <c r="C9" s="213"/>
      <c r="D9" s="214"/>
      <c r="E9" s="214"/>
      <c r="F9" s="214"/>
      <c r="G9" s="214">
        <v>280878.01</v>
      </c>
      <c r="H9" s="214"/>
      <c r="I9" s="214"/>
      <c r="J9" s="233"/>
      <c r="K9" s="233"/>
      <c r="L9" s="214">
        <f>L10+L24+L43+L62+L69+L70+L71+L86+L87</f>
        <v>146235.11</v>
      </c>
      <c r="M9" s="214"/>
      <c r="N9" s="234"/>
      <c r="O9" s="235"/>
      <c r="P9" s="236"/>
      <c r="Q9" s="236">
        <f ca="1" t="shared" ref="Q9:T9" si="1">Q10+Q24+Q43+Q62+Q69+Q70+Q71+Q86+Q87</f>
        <v>119672.726437643</v>
      </c>
      <c r="R9" s="251"/>
      <c r="S9" s="214">
        <f ca="1" t="shared" si="1"/>
        <v>-161205.283562357</v>
      </c>
      <c r="T9" s="214">
        <f ca="1" t="shared" si="1"/>
        <v>-26562.3535623565</v>
      </c>
      <c r="U9" s="252"/>
    </row>
    <row r="10" s="122" customFormat="1" ht="17" customHeight="1" spans="1:21">
      <c r="A10" s="218" t="str">
        <f>工程量核对表!A9</f>
        <v>（一）</v>
      </c>
      <c r="B10" s="219" t="str">
        <f>工程量核对表!B9</f>
        <v>闸阀井</v>
      </c>
      <c r="C10" s="165" t="str">
        <f>工程量核对表!C9</f>
        <v>个</v>
      </c>
      <c r="D10" s="220">
        <v>2</v>
      </c>
      <c r="E10" s="220">
        <v>1134.01</v>
      </c>
      <c r="F10" s="220"/>
      <c r="G10" s="220">
        <v>2268.01</v>
      </c>
      <c r="H10" s="220"/>
      <c r="I10" s="220"/>
      <c r="J10" s="240"/>
      <c r="K10" s="240"/>
      <c r="L10" s="220">
        <v>1037.25</v>
      </c>
      <c r="M10" s="220"/>
      <c r="N10" s="241"/>
      <c r="O10" s="242"/>
      <c r="P10" s="242"/>
      <c r="Q10" s="254">
        <f ca="1" t="shared" ref="Q10:T10" si="2">SUM(Q11:Q18)</f>
        <v>657.852849805459</v>
      </c>
      <c r="R10" s="255"/>
      <c r="S10" s="220">
        <f ca="1" t="shared" si="2"/>
        <v>-1610.15715019454</v>
      </c>
      <c r="T10" s="220">
        <f ca="1" t="shared" si="2"/>
        <v>-379.387150194541</v>
      </c>
      <c r="U10" s="181"/>
    </row>
    <row r="11" s="122" customFormat="1" ht="17" customHeight="1" spans="1:21">
      <c r="A11" s="215">
        <f>工程量核对表!A10</f>
        <v>1</v>
      </c>
      <c r="B11" s="216" t="str">
        <f>工程量核对表!B10</f>
        <v>土方开挖</v>
      </c>
      <c r="C11" s="158" t="str">
        <f>工程量核对表!C10</f>
        <v>m3</v>
      </c>
      <c r="D11" s="217">
        <v>3.06</v>
      </c>
      <c r="E11" s="217">
        <v>19.7</v>
      </c>
      <c r="F11" s="217"/>
      <c r="G11" s="217">
        <v>60.28</v>
      </c>
      <c r="H11" s="217"/>
      <c r="I11" s="217">
        <v>3.2</v>
      </c>
      <c r="J11" s="217">
        <v>19.7</v>
      </c>
      <c r="K11" s="237"/>
      <c r="L11" s="217">
        <v>63.04</v>
      </c>
      <c r="M11" s="217"/>
      <c r="N11" s="238">
        <f ca="1">工程量核对表!F10</f>
        <v>3.2</v>
      </c>
      <c r="O11" s="239">
        <f>E11</f>
        <v>19.7</v>
      </c>
      <c r="P11" s="239"/>
      <c r="Q11" s="224">
        <f ca="1">N11*O11</f>
        <v>63.04</v>
      </c>
      <c r="R11" s="253"/>
      <c r="S11" s="239">
        <f ca="1" t="shared" ref="S11:S18" si="3">Q11-G11</f>
        <v>2.76</v>
      </c>
      <c r="T11" s="238">
        <f ca="1" t="shared" ref="T11:T18" si="4">Q11-L11</f>
        <v>0</v>
      </c>
      <c r="U11" s="179"/>
    </row>
    <row r="12" s="122" customFormat="1" ht="17" customHeight="1" spans="1:21">
      <c r="A12" s="215">
        <f>工程量核对表!A11</f>
        <v>2</v>
      </c>
      <c r="B12" s="216" t="str">
        <f>工程量核对表!B11</f>
        <v>石方开挖</v>
      </c>
      <c r="C12" s="158" t="str">
        <f>工程量核对表!C11</f>
        <v>m3</v>
      </c>
      <c r="D12" s="217">
        <v>2.12</v>
      </c>
      <c r="E12" s="217">
        <v>57.48</v>
      </c>
      <c r="F12" s="217"/>
      <c r="G12" s="217">
        <v>121.86</v>
      </c>
      <c r="H12" s="217"/>
      <c r="I12" s="217"/>
      <c r="J12" s="217">
        <v>57.48</v>
      </c>
      <c r="K12" s="237"/>
      <c r="L12" s="217"/>
      <c r="M12" s="217"/>
      <c r="N12" s="238">
        <f ca="1">工程量核对表!F11</f>
        <v>0</v>
      </c>
      <c r="O12" s="239">
        <f t="shared" ref="O12:O18" si="5">E12</f>
        <v>57.48</v>
      </c>
      <c r="P12" s="239"/>
      <c r="Q12" s="224">
        <f ca="1" t="shared" ref="Q12:Q18" si="6">N12*O12</f>
        <v>0</v>
      </c>
      <c r="R12" s="253"/>
      <c r="S12" s="239">
        <f ca="1" t="shared" si="3"/>
        <v>-121.86</v>
      </c>
      <c r="T12" s="238">
        <f ca="1" t="shared" si="4"/>
        <v>0</v>
      </c>
      <c r="U12" s="179"/>
    </row>
    <row r="13" s="122" customFormat="1" ht="17" customHeight="1" spans="1:21">
      <c r="A13" s="215">
        <f>工程量核对表!A12</f>
        <v>3</v>
      </c>
      <c r="B13" s="216" t="str">
        <f>工程量核对表!B12</f>
        <v>土方回填</v>
      </c>
      <c r="C13" s="158" t="str">
        <f>工程量核对表!C12</f>
        <v>m3</v>
      </c>
      <c r="D13" s="217">
        <v>0.84</v>
      </c>
      <c r="E13" s="217">
        <v>27.94</v>
      </c>
      <c r="F13" s="217"/>
      <c r="G13" s="217">
        <v>23.47</v>
      </c>
      <c r="H13" s="217"/>
      <c r="I13" s="217"/>
      <c r="J13" s="217">
        <v>27.94</v>
      </c>
      <c r="K13" s="237"/>
      <c r="L13" s="217"/>
      <c r="M13" s="217"/>
      <c r="N13" s="238">
        <f ca="1">工程量核对表!F12</f>
        <v>0</v>
      </c>
      <c r="O13" s="239">
        <f t="shared" si="5"/>
        <v>27.94</v>
      </c>
      <c r="P13" s="239"/>
      <c r="Q13" s="224">
        <f ca="1" t="shared" si="6"/>
        <v>0</v>
      </c>
      <c r="R13" s="253"/>
      <c r="S13" s="239">
        <f ca="1" t="shared" si="3"/>
        <v>-23.47</v>
      </c>
      <c r="T13" s="238">
        <f ca="1" t="shared" si="4"/>
        <v>0</v>
      </c>
      <c r="U13" s="179"/>
    </row>
    <row r="14" s="122" customFormat="1" ht="17" customHeight="1" spans="1:21">
      <c r="A14" s="215">
        <f>工程量核对表!A13</f>
        <v>4</v>
      </c>
      <c r="B14" s="216" t="str">
        <f>工程量核对表!B13</f>
        <v>M7.5浆砌页岩砖</v>
      </c>
      <c r="C14" s="158" t="str">
        <f>工程量核对表!C13</f>
        <v>m3</v>
      </c>
      <c r="D14" s="217">
        <v>1.9</v>
      </c>
      <c r="E14" s="217">
        <v>637.15</v>
      </c>
      <c r="F14" s="217"/>
      <c r="G14" s="217">
        <v>1210.59</v>
      </c>
      <c r="H14" s="217"/>
      <c r="I14" s="217">
        <v>0.6</v>
      </c>
      <c r="J14" s="217">
        <v>637.15</v>
      </c>
      <c r="K14" s="237"/>
      <c r="L14" s="217">
        <v>382.29</v>
      </c>
      <c r="M14" s="217"/>
      <c r="N14" s="238">
        <f ca="1">工程量核对表!F13</f>
        <v>0.53061</v>
      </c>
      <c r="O14" s="239">
        <f t="shared" si="5"/>
        <v>637.15</v>
      </c>
      <c r="P14" s="239"/>
      <c r="Q14" s="224">
        <f ca="1" t="shared" si="6"/>
        <v>338.0781615</v>
      </c>
      <c r="R14" s="253"/>
      <c r="S14" s="239">
        <f ca="1" t="shared" si="3"/>
        <v>-872.5118385</v>
      </c>
      <c r="T14" s="238">
        <f ca="1" t="shared" si="4"/>
        <v>-44.2118385</v>
      </c>
      <c r="U14" s="179"/>
    </row>
    <row r="15" s="122" customFormat="1" ht="17" customHeight="1" spans="1:21">
      <c r="A15" s="215">
        <f>工程量核对表!A14</f>
        <v>5</v>
      </c>
      <c r="B15" s="216" t="str">
        <f>工程量核对表!B14</f>
        <v>预制盖板C20砼</v>
      </c>
      <c r="C15" s="158" t="str">
        <f>工程量核对表!C14</f>
        <v>m3</v>
      </c>
      <c r="D15" s="217">
        <v>0.32</v>
      </c>
      <c r="E15" s="217">
        <v>607.42</v>
      </c>
      <c r="F15" s="217"/>
      <c r="G15" s="217">
        <v>194.37</v>
      </c>
      <c r="H15" s="217"/>
      <c r="I15" s="243">
        <v>0.072</v>
      </c>
      <c r="J15" s="217">
        <v>607.42</v>
      </c>
      <c r="K15" s="237"/>
      <c r="L15" s="217">
        <v>43.73</v>
      </c>
      <c r="M15" s="217"/>
      <c r="N15" s="238">
        <f ca="1">工程量核对表!F14</f>
        <v>0.08496</v>
      </c>
      <c r="O15" s="239">
        <f t="shared" si="5"/>
        <v>607.42</v>
      </c>
      <c r="P15" s="239"/>
      <c r="Q15" s="224">
        <f ca="1" t="shared" si="6"/>
        <v>51.6064032</v>
      </c>
      <c r="R15" s="253"/>
      <c r="S15" s="239">
        <f ca="1" t="shared" si="3"/>
        <v>-142.7635968</v>
      </c>
      <c r="T15" s="238">
        <f ca="1" t="shared" si="4"/>
        <v>7.8764032</v>
      </c>
      <c r="U15" s="179"/>
    </row>
    <row r="16" s="122" customFormat="1" ht="17" customHeight="1" spans="1:21">
      <c r="A16" s="215">
        <f>工程量核对表!A15</f>
        <v>6</v>
      </c>
      <c r="B16" s="216" t="str">
        <f>工程量核对表!B15</f>
        <v>盖板钢筋制安</v>
      </c>
      <c r="C16" s="158" t="str">
        <f>工程量核对表!C15</f>
        <v>t</v>
      </c>
      <c r="D16" s="217">
        <v>0.0054</v>
      </c>
      <c r="E16" s="217">
        <v>6333.7</v>
      </c>
      <c r="F16" s="217"/>
      <c r="G16" s="217">
        <v>34.2</v>
      </c>
      <c r="H16" s="217"/>
      <c r="I16" s="217">
        <v>0.02</v>
      </c>
      <c r="J16" s="217">
        <v>6333.7</v>
      </c>
      <c r="K16" s="237"/>
      <c r="L16" s="217">
        <v>126.67</v>
      </c>
      <c r="M16" s="217"/>
      <c r="N16" s="238">
        <f ca="1">工程量核对表!F15</f>
        <v>0.01296934</v>
      </c>
      <c r="O16" s="239">
        <f t="shared" si="5"/>
        <v>6333.7</v>
      </c>
      <c r="P16" s="239"/>
      <c r="Q16" s="224">
        <f ca="1" t="shared" si="6"/>
        <v>82.143908758</v>
      </c>
      <c r="R16" s="253"/>
      <c r="S16" s="239">
        <f ca="1" t="shared" si="3"/>
        <v>47.943908758</v>
      </c>
      <c r="T16" s="238">
        <f ca="1" t="shared" si="4"/>
        <v>-44.526091242</v>
      </c>
      <c r="U16" s="179"/>
    </row>
    <row r="17" s="122" customFormat="1" ht="17" customHeight="1" spans="1:21">
      <c r="A17" s="215">
        <f>工程量核对表!A16</f>
        <v>7</v>
      </c>
      <c r="B17" s="216" t="str">
        <f>工程量核对表!B16</f>
        <v>M10砂浆抹面</v>
      </c>
      <c r="C17" s="158" t="str">
        <f>工程量核对表!C16</f>
        <v>m2</v>
      </c>
      <c r="D17" s="217">
        <v>15.76</v>
      </c>
      <c r="E17" s="217">
        <v>20.51</v>
      </c>
      <c r="F17" s="217"/>
      <c r="G17" s="217">
        <v>323.24</v>
      </c>
      <c r="H17" s="217"/>
      <c r="I17" s="217">
        <v>10.8</v>
      </c>
      <c r="J17" s="217">
        <v>20.51</v>
      </c>
      <c r="K17" s="237"/>
      <c r="L17" s="217">
        <v>221.51</v>
      </c>
      <c r="M17" s="217"/>
      <c r="N17" s="238">
        <f ca="1">工程量核对表!F16</f>
        <v>5.2812</v>
      </c>
      <c r="O17" s="239">
        <f t="shared" si="5"/>
        <v>20.51</v>
      </c>
      <c r="P17" s="239"/>
      <c r="Q17" s="224">
        <f ca="1" t="shared" si="6"/>
        <v>108.317412</v>
      </c>
      <c r="R17" s="253"/>
      <c r="S17" s="239">
        <f ca="1" t="shared" si="3"/>
        <v>-214.922588</v>
      </c>
      <c r="T17" s="238">
        <f ca="1" t="shared" si="4"/>
        <v>-113.192588</v>
      </c>
      <c r="U17" s="179"/>
    </row>
    <row r="18" s="122" customFormat="1" ht="17" customHeight="1" spans="1:21">
      <c r="A18" s="215">
        <f>工程量核对表!A17</f>
        <v>8</v>
      </c>
      <c r="B18" s="216" t="str">
        <f>工程量核对表!B17</f>
        <v>人力二次转运材料（500元/t/km,运距0.1km）</v>
      </c>
      <c r="C18" s="158" t="str">
        <f>工程量核对表!C17</f>
        <v>t</v>
      </c>
      <c r="D18" s="217">
        <v>6</v>
      </c>
      <c r="E18" s="217">
        <v>50</v>
      </c>
      <c r="F18" s="217"/>
      <c r="G18" s="217">
        <v>300</v>
      </c>
      <c r="H18" s="217"/>
      <c r="I18" s="217">
        <v>4</v>
      </c>
      <c r="J18" s="217">
        <v>50</v>
      </c>
      <c r="K18" s="237"/>
      <c r="L18" s="217">
        <v>200</v>
      </c>
      <c r="M18" s="217"/>
      <c r="N18" s="238"/>
      <c r="O18" s="239"/>
      <c r="P18" s="239"/>
      <c r="Q18" s="224">
        <f ca="1">SUM(Q19:Q23)</f>
        <v>14.6669643474588</v>
      </c>
      <c r="R18" s="253"/>
      <c r="S18" s="239">
        <f ca="1" t="shared" si="3"/>
        <v>-285.333035652541</v>
      </c>
      <c r="T18" s="238">
        <f ca="1" t="shared" si="4"/>
        <v>-185.333035652541</v>
      </c>
      <c r="U18" s="179" t="s">
        <v>58</v>
      </c>
    </row>
    <row r="19" s="122" customFormat="1" ht="17" customHeight="1" spans="1:21">
      <c r="A19" s="215"/>
      <c r="B19" s="216" t="s">
        <v>59</v>
      </c>
      <c r="C19" s="158" t="s">
        <v>60</v>
      </c>
      <c r="D19" s="217"/>
      <c r="E19" s="217"/>
      <c r="F19" s="217"/>
      <c r="G19" s="217"/>
      <c r="H19" s="217"/>
      <c r="I19" s="217"/>
      <c r="J19" s="217"/>
      <c r="K19" s="237"/>
      <c r="L19" s="217"/>
      <c r="M19" s="217"/>
      <c r="N19" s="238">
        <f ca="1">二转材料统计!Q14</f>
        <v>0.105559172226</v>
      </c>
      <c r="O19" s="239">
        <v>10.63</v>
      </c>
      <c r="P19" s="239"/>
      <c r="Q19" s="224">
        <f ca="1">N19*O19</f>
        <v>1.12209400076238</v>
      </c>
      <c r="R19" s="253"/>
      <c r="S19" s="239"/>
      <c r="T19" s="238"/>
      <c r="U19" s="179"/>
    </row>
    <row r="20" s="122" customFormat="1" ht="17" customHeight="1" spans="1:21">
      <c r="A20" s="215"/>
      <c r="B20" s="216" t="s">
        <v>61</v>
      </c>
      <c r="C20" s="158" t="s">
        <v>62</v>
      </c>
      <c r="D20" s="217"/>
      <c r="E20" s="217"/>
      <c r="F20" s="217"/>
      <c r="G20" s="217"/>
      <c r="H20" s="217"/>
      <c r="I20" s="217"/>
      <c r="J20" s="217"/>
      <c r="K20" s="237"/>
      <c r="L20" s="217"/>
      <c r="M20" s="217"/>
      <c r="N20" s="238">
        <f ca="1">二转材料统计!R14</f>
        <v>0.28449474</v>
      </c>
      <c r="O20" s="239">
        <v>15.09</v>
      </c>
      <c r="P20" s="239"/>
      <c r="Q20" s="224">
        <f ca="1">N20*O20</f>
        <v>4.2930256266</v>
      </c>
      <c r="R20" s="253"/>
      <c r="S20" s="239"/>
      <c r="T20" s="238"/>
      <c r="U20" s="179"/>
    </row>
    <row r="21" s="122" customFormat="1" ht="17" customHeight="1" spans="1:21">
      <c r="A21" s="215"/>
      <c r="B21" s="216" t="s">
        <v>63</v>
      </c>
      <c r="C21" s="158" t="s">
        <v>62</v>
      </c>
      <c r="D21" s="217"/>
      <c r="E21" s="217"/>
      <c r="F21" s="217"/>
      <c r="G21" s="217"/>
      <c r="H21" s="217"/>
      <c r="I21" s="217"/>
      <c r="J21" s="217"/>
      <c r="K21" s="237"/>
      <c r="L21" s="217"/>
      <c r="M21" s="217"/>
      <c r="N21" s="238">
        <f ca="1">二转材料统计!S14</f>
        <v>0.073626336</v>
      </c>
      <c r="O21" s="239">
        <v>16.12</v>
      </c>
      <c r="P21" s="239"/>
      <c r="Q21" s="224">
        <f ca="1">N21*O21</f>
        <v>1.18685653632</v>
      </c>
      <c r="R21" s="253"/>
      <c r="S21" s="239"/>
      <c r="T21" s="238"/>
      <c r="U21" s="179"/>
    </row>
    <row r="22" s="122" customFormat="1" ht="17" customHeight="1" spans="1:21">
      <c r="A22" s="215"/>
      <c r="B22" s="216" t="s">
        <v>64</v>
      </c>
      <c r="C22" s="158" t="s">
        <v>65</v>
      </c>
      <c r="D22" s="217"/>
      <c r="E22" s="217"/>
      <c r="F22" s="217"/>
      <c r="G22" s="217"/>
      <c r="H22" s="217"/>
      <c r="I22" s="217"/>
      <c r="J22" s="217"/>
      <c r="K22" s="237"/>
      <c r="L22" s="217"/>
      <c r="M22" s="217"/>
      <c r="N22" s="238">
        <f ca="1">二转材料统计!T14</f>
        <v>0.28334574</v>
      </c>
      <c r="O22" s="239">
        <f>O20*1.854</f>
        <v>27.97686</v>
      </c>
      <c r="P22" s="239"/>
      <c r="Q22" s="224">
        <f ca="1">N22*O22</f>
        <v>7.9271240995764</v>
      </c>
      <c r="R22" s="253"/>
      <c r="S22" s="239"/>
      <c r="T22" s="238"/>
      <c r="U22" s="179"/>
    </row>
    <row r="23" s="122" customFormat="1" ht="17" customHeight="1" spans="1:21">
      <c r="A23" s="215"/>
      <c r="B23" s="216" t="s">
        <v>66</v>
      </c>
      <c r="C23" s="158" t="s">
        <v>60</v>
      </c>
      <c r="D23" s="217"/>
      <c r="E23" s="217"/>
      <c r="F23" s="217"/>
      <c r="G23" s="217"/>
      <c r="H23" s="217"/>
      <c r="I23" s="217"/>
      <c r="J23" s="217"/>
      <c r="K23" s="237"/>
      <c r="L23" s="217"/>
      <c r="M23" s="217"/>
      <c r="N23" s="238">
        <f ca="1">N16</f>
        <v>0.01296934</v>
      </c>
      <c r="O23" s="239">
        <f>O19</f>
        <v>10.63</v>
      </c>
      <c r="P23" s="239"/>
      <c r="Q23" s="224">
        <f ca="1">N23*O23</f>
        <v>0.1378640842</v>
      </c>
      <c r="R23" s="253"/>
      <c r="S23" s="239"/>
      <c r="T23" s="238"/>
      <c r="U23" s="179"/>
    </row>
    <row r="24" s="122" customFormat="1" ht="17" customHeight="1" spans="1:21">
      <c r="A24" s="218" t="str">
        <f>工程量核对表!A18</f>
        <v>（二）</v>
      </c>
      <c r="B24" s="219" t="str">
        <f>工程量核对表!B18</f>
        <v>新建80方清水池</v>
      </c>
      <c r="C24" s="165" t="str">
        <f>工程量核对表!C18</f>
        <v>座</v>
      </c>
      <c r="D24" s="220">
        <v>1</v>
      </c>
      <c r="E24" s="220">
        <v>46763.71</v>
      </c>
      <c r="F24" s="220"/>
      <c r="G24" s="220">
        <v>46763.71</v>
      </c>
      <c r="H24" s="220"/>
      <c r="I24" s="220"/>
      <c r="J24" s="240"/>
      <c r="K24" s="240"/>
      <c r="L24" s="220">
        <v>48494.62</v>
      </c>
      <c r="M24" s="220"/>
      <c r="N24" s="241"/>
      <c r="O24" s="242"/>
      <c r="P24" s="242"/>
      <c r="Q24" s="254">
        <f ca="1" t="shared" ref="Q24:T24" si="7">SUM(Q25:Q37)</f>
        <v>28488.255197079</v>
      </c>
      <c r="R24" s="255"/>
      <c r="S24" s="220">
        <f ca="1" t="shared" si="7"/>
        <v>-18275.454802921</v>
      </c>
      <c r="T24" s="220">
        <f ca="1" t="shared" si="7"/>
        <v>-20006.354802921</v>
      </c>
      <c r="U24" s="181"/>
    </row>
    <row r="25" s="122" customFormat="1" ht="17" customHeight="1" spans="1:21">
      <c r="A25" s="215">
        <f>工程量核对表!A19</f>
        <v>1</v>
      </c>
      <c r="B25" s="216" t="str">
        <f>工程量核对表!B19</f>
        <v>土方开挖</v>
      </c>
      <c r="C25" s="158" t="str">
        <f>工程量核对表!C19</f>
        <v>m3</v>
      </c>
      <c r="D25" s="217">
        <v>23.89</v>
      </c>
      <c r="E25" s="217">
        <v>19.7</v>
      </c>
      <c r="F25" s="217"/>
      <c r="G25" s="217">
        <v>470.63</v>
      </c>
      <c r="H25" s="217"/>
      <c r="I25" s="217">
        <v>47.7</v>
      </c>
      <c r="J25" s="217">
        <v>19.7</v>
      </c>
      <c r="K25" s="237"/>
      <c r="L25" s="217">
        <v>939.69</v>
      </c>
      <c r="M25" s="217"/>
      <c r="N25" s="238">
        <f ca="1">工程量核对表!F19</f>
        <v>39.521177465</v>
      </c>
      <c r="O25" s="239">
        <f t="shared" ref="O25:O37" si="8">E25</f>
        <v>19.7</v>
      </c>
      <c r="P25" s="239"/>
      <c r="Q25" s="224">
        <f ca="1" t="shared" ref="Q25:Q37" si="9">N25*O25</f>
        <v>778.5671960605</v>
      </c>
      <c r="R25" s="253"/>
      <c r="S25" s="239">
        <f ca="1" t="shared" ref="S24:S38" si="10">Q25-G25</f>
        <v>307.9371960605</v>
      </c>
      <c r="T25" s="238">
        <f ca="1" t="shared" ref="T24:T38" si="11">Q25-L25</f>
        <v>-161.1228039395</v>
      </c>
      <c r="U25" s="179"/>
    </row>
    <row r="26" s="122" customFormat="1" ht="17" customHeight="1" spans="1:21">
      <c r="A26" s="215">
        <f>工程量核对表!A20</f>
        <v>2</v>
      </c>
      <c r="B26" s="216" t="str">
        <f>工程量核对表!B20</f>
        <v>石方开挖</v>
      </c>
      <c r="C26" s="158" t="str">
        <f>工程量核对表!C20</f>
        <v>m3</v>
      </c>
      <c r="D26" s="217">
        <v>95.56</v>
      </c>
      <c r="E26" s="217">
        <v>57.48</v>
      </c>
      <c r="F26" s="217"/>
      <c r="G26" s="217">
        <v>5492.79</v>
      </c>
      <c r="H26" s="217"/>
      <c r="I26" s="217">
        <v>20.44</v>
      </c>
      <c r="J26" s="217">
        <v>57.48</v>
      </c>
      <c r="K26" s="237"/>
      <c r="L26" s="217">
        <v>1174.89</v>
      </c>
      <c r="M26" s="217"/>
      <c r="N26" s="238">
        <f ca="1">工程量核对表!F20</f>
        <v>16.937647485</v>
      </c>
      <c r="O26" s="239">
        <f t="shared" si="8"/>
        <v>57.48</v>
      </c>
      <c r="P26" s="239"/>
      <c r="Q26" s="224">
        <f ca="1" t="shared" si="9"/>
        <v>973.5759774378</v>
      </c>
      <c r="R26" s="253"/>
      <c r="S26" s="239">
        <f ca="1" t="shared" si="10"/>
        <v>-4519.2140225622</v>
      </c>
      <c r="T26" s="238">
        <f ca="1" t="shared" si="11"/>
        <v>-201.3140225622</v>
      </c>
      <c r="U26" s="179"/>
    </row>
    <row r="27" s="122" customFormat="1" ht="17" customHeight="1" spans="1:21">
      <c r="A27" s="215">
        <f>工程量核对表!A21</f>
        <v>3</v>
      </c>
      <c r="B27" s="216" t="str">
        <f>工程量核对表!B21</f>
        <v>土方回填</v>
      </c>
      <c r="C27" s="158" t="str">
        <f>工程量核对表!C21</f>
        <v>m3</v>
      </c>
      <c r="D27" s="217">
        <v>35.84</v>
      </c>
      <c r="E27" s="217">
        <v>27.94</v>
      </c>
      <c r="F27" s="217"/>
      <c r="G27" s="217">
        <v>1001.37</v>
      </c>
      <c r="H27" s="217"/>
      <c r="I27" s="217">
        <v>34.93</v>
      </c>
      <c r="J27" s="217">
        <v>27.94</v>
      </c>
      <c r="K27" s="237"/>
      <c r="L27" s="217">
        <v>975.94</v>
      </c>
      <c r="M27" s="217"/>
      <c r="N27" s="238">
        <f ca="1">工程量核对表!F21</f>
        <v>26.99648127</v>
      </c>
      <c r="O27" s="239">
        <f t="shared" si="8"/>
        <v>27.94</v>
      </c>
      <c r="P27" s="239"/>
      <c r="Q27" s="224">
        <f ca="1" t="shared" si="9"/>
        <v>754.2816866838</v>
      </c>
      <c r="R27" s="253"/>
      <c r="S27" s="239">
        <f ca="1" t="shared" si="10"/>
        <v>-247.0883133162</v>
      </c>
      <c r="T27" s="238">
        <f ca="1" t="shared" si="11"/>
        <v>-221.6583133162</v>
      </c>
      <c r="U27" s="179"/>
    </row>
    <row r="28" s="122" customFormat="1" ht="17" customHeight="1" spans="1:21">
      <c r="A28" s="215">
        <f>工程量核对表!A22</f>
        <v>4</v>
      </c>
      <c r="B28" s="216" t="str">
        <f>工程量核对表!B22</f>
        <v>30cm厚覆土</v>
      </c>
      <c r="C28" s="158" t="str">
        <f>工程量核对表!C22</f>
        <v>m3</v>
      </c>
      <c r="D28" s="217">
        <v>8.48</v>
      </c>
      <c r="E28" s="217">
        <v>27.94</v>
      </c>
      <c r="F28" s="217"/>
      <c r="G28" s="217">
        <v>236.93</v>
      </c>
      <c r="H28" s="217"/>
      <c r="I28" s="217">
        <v>4.98</v>
      </c>
      <c r="J28" s="217">
        <v>27.94</v>
      </c>
      <c r="K28" s="237"/>
      <c r="L28" s="217">
        <v>139.14</v>
      </c>
      <c r="M28" s="217"/>
      <c r="N28" s="238">
        <f ca="1">工程量核对表!F22</f>
        <v>2.90293</v>
      </c>
      <c r="O28" s="239">
        <f t="shared" si="8"/>
        <v>27.94</v>
      </c>
      <c r="P28" s="239"/>
      <c r="Q28" s="224">
        <f ca="1" t="shared" si="9"/>
        <v>81.1078642</v>
      </c>
      <c r="R28" s="253"/>
      <c r="S28" s="239">
        <f ca="1" t="shared" si="10"/>
        <v>-155.8221358</v>
      </c>
      <c r="T28" s="238">
        <f ca="1" t="shared" si="11"/>
        <v>-58.0321358</v>
      </c>
      <c r="U28" s="179"/>
    </row>
    <row r="29" s="122" customFormat="1" ht="17" customHeight="1" spans="1:21">
      <c r="A29" s="215">
        <f>工程量核对表!A23</f>
        <v>5</v>
      </c>
      <c r="B29" s="216" t="str">
        <f>工程量核对表!B23</f>
        <v>C25混凝土浇筑</v>
      </c>
      <c r="C29" s="158" t="str">
        <f>工程量核对表!C23</f>
        <v>m3</v>
      </c>
      <c r="D29" s="217">
        <v>13.16</v>
      </c>
      <c r="E29" s="217">
        <v>626.37</v>
      </c>
      <c r="F29" s="217"/>
      <c r="G29" s="217">
        <v>8243.03</v>
      </c>
      <c r="H29" s="217"/>
      <c r="I29" s="217">
        <v>8.62</v>
      </c>
      <c r="J29" s="217">
        <v>626.37</v>
      </c>
      <c r="K29" s="237"/>
      <c r="L29" s="217">
        <v>5399.31</v>
      </c>
      <c r="M29" s="217"/>
      <c r="N29" s="238">
        <f ca="1">工程量核对表!F23</f>
        <v>8.2833631</v>
      </c>
      <c r="O29" s="239">
        <f t="shared" si="8"/>
        <v>626.37</v>
      </c>
      <c r="P29" s="239"/>
      <c r="Q29" s="224">
        <f ca="1" t="shared" si="9"/>
        <v>5188.450144947</v>
      </c>
      <c r="R29" s="253"/>
      <c r="S29" s="239">
        <f ca="1" t="shared" si="10"/>
        <v>-3054.579855053</v>
      </c>
      <c r="T29" s="238">
        <f ca="1" t="shared" si="11"/>
        <v>-210.859855053001</v>
      </c>
      <c r="U29" s="179"/>
    </row>
    <row r="30" s="122" customFormat="1" ht="17" customHeight="1" spans="1:21">
      <c r="A30" s="215">
        <f>工程量核对表!A24</f>
        <v>6</v>
      </c>
      <c r="B30" s="216" t="str">
        <f>工程量核对表!B24</f>
        <v>模板制安</v>
      </c>
      <c r="C30" s="158" t="str">
        <f>工程量核对表!C24</f>
        <v>m2</v>
      </c>
      <c r="D30" s="217">
        <v>43.23</v>
      </c>
      <c r="E30" s="217">
        <v>58.41</v>
      </c>
      <c r="F30" s="217"/>
      <c r="G30" s="217">
        <v>2525.06</v>
      </c>
      <c r="H30" s="217"/>
      <c r="I30" s="217">
        <v>16.61</v>
      </c>
      <c r="J30" s="217">
        <v>58.41</v>
      </c>
      <c r="K30" s="237"/>
      <c r="L30" s="217">
        <v>970.19</v>
      </c>
      <c r="M30" s="217"/>
      <c r="N30" s="238">
        <f ca="1">工程量核对表!F24</f>
        <v>15.077966</v>
      </c>
      <c r="O30" s="239">
        <f t="shared" si="8"/>
        <v>58.41</v>
      </c>
      <c r="P30" s="239"/>
      <c r="Q30" s="224">
        <f ca="1" t="shared" si="9"/>
        <v>880.70399406</v>
      </c>
      <c r="R30" s="253"/>
      <c r="S30" s="239">
        <f ca="1" t="shared" si="10"/>
        <v>-1644.35600594</v>
      </c>
      <c r="T30" s="238">
        <f ca="1" t="shared" si="11"/>
        <v>-89.4860059400003</v>
      </c>
      <c r="U30" s="179"/>
    </row>
    <row r="31" s="122" customFormat="1" ht="17" customHeight="1" spans="1:21">
      <c r="A31" s="215">
        <f>工程量核对表!A25</f>
        <v>7</v>
      </c>
      <c r="B31" s="216" t="str">
        <f>工程量核对表!B25</f>
        <v>钢筋制安</v>
      </c>
      <c r="C31" s="158" t="str">
        <f>工程量核对表!C25</f>
        <v>t</v>
      </c>
      <c r="D31" s="217">
        <v>0.66</v>
      </c>
      <c r="E31" s="217">
        <v>6333.7</v>
      </c>
      <c r="F31" s="217"/>
      <c r="G31" s="217">
        <v>4180.24</v>
      </c>
      <c r="H31" s="217"/>
      <c r="I31" s="217">
        <v>0.6</v>
      </c>
      <c r="J31" s="217">
        <v>6333.7</v>
      </c>
      <c r="K31" s="237"/>
      <c r="L31" s="217">
        <v>3800.22</v>
      </c>
      <c r="M31" s="217"/>
      <c r="N31" s="238">
        <f ca="1">工程量核对表!F25</f>
        <v>0.5335812</v>
      </c>
      <c r="O31" s="239">
        <f t="shared" si="8"/>
        <v>6333.7</v>
      </c>
      <c r="P31" s="239"/>
      <c r="Q31" s="224">
        <f ca="1" t="shared" si="9"/>
        <v>3379.54324644</v>
      </c>
      <c r="R31" s="253"/>
      <c r="S31" s="239">
        <f ca="1" t="shared" si="10"/>
        <v>-800.69675356</v>
      </c>
      <c r="T31" s="238">
        <f ca="1" t="shared" si="11"/>
        <v>-420.67675356</v>
      </c>
      <c r="U31" s="179"/>
    </row>
    <row r="32" s="122" customFormat="1" ht="17" customHeight="1" spans="1:21">
      <c r="A32" s="215">
        <f>工程量核对表!A26</f>
        <v>8</v>
      </c>
      <c r="B32" s="216" t="str">
        <f>工程量核对表!B26</f>
        <v>M10砂浆抹面</v>
      </c>
      <c r="C32" s="158" t="str">
        <f>工程量核对表!C26</f>
        <v>m2</v>
      </c>
      <c r="D32" s="217">
        <v>224.51</v>
      </c>
      <c r="E32" s="217">
        <v>20.51</v>
      </c>
      <c r="F32" s="217"/>
      <c r="G32" s="217">
        <v>4604.7</v>
      </c>
      <c r="H32" s="217"/>
      <c r="I32" s="217">
        <v>98.25</v>
      </c>
      <c r="J32" s="217">
        <v>20.51</v>
      </c>
      <c r="K32" s="237"/>
      <c r="L32" s="217">
        <v>2015.11</v>
      </c>
      <c r="M32" s="217"/>
      <c r="N32" s="238">
        <f ca="1">工程量核对表!F26</f>
        <v>93.325568</v>
      </c>
      <c r="O32" s="239">
        <f t="shared" si="8"/>
        <v>20.51</v>
      </c>
      <c r="P32" s="239"/>
      <c r="Q32" s="224">
        <f ca="1" t="shared" si="9"/>
        <v>1914.10739968</v>
      </c>
      <c r="R32" s="253"/>
      <c r="S32" s="239">
        <f ca="1" t="shared" si="10"/>
        <v>-2690.59260032</v>
      </c>
      <c r="T32" s="238">
        <f ca="1" t="shared" si="11"/>
        <v>-101.002600319999</v>
      </c>
      <c r="U32" s="179"/>
    </row>
    <row r="33" s="122" customFormat="1" ht="17" customHeight="1" spans="1:21">
      <c r="A33" s="215">
        <f>工程量核对表!A27</f>
        <v>9</v>
      </c>
      <c r="B33" s="216" t="str">
        <f>工程量核对表!B27</f>
        <v>池壁贴瓷砖</v>
      </c>
      <c r="C33" s="158" t="str">
        <f>工程量核对表!C27</f>
        <v>m2</v>
      </c>
      <c r="D33" s="217">
        <v>14.24</v>
      </c>
      <c r="E33" s="217">
        <v>95.34</v>
      </c>
      <c r="F33" s="217"/>
      <c r="G33" s="217">
        <v>1357.64</v>
      </c>
      <c r="H33" s="217"/>
      <c r="I33" s="217">
        <v>23.86</v>
      </c>
      <c r="J33" s="217">
        <v>95.34</v>
      </c>
      <c r="K33" s="237"/>
      <c r="L33" s="217">
        <v>2274.81</v>
      </c>
      <c r="M33" s="217"/>
      <c r="N33" s="238">
        <f ca="1">工程量核对表!F27</f>
        <v>31.64988</v>
      </c>
      <c r="O33" s="239">
        <f t="shared" si="8"/>
        <v>95.34</v>
      </c>
      <c r="P33" s="239"/>
      <c r="Q33" s="224">
        <f ca="1" t="shared" si="9"/>
        <v>3017.4995592</v>
      </c>
      <c r="R33" s="253"/>
      <c r="S33" s="239">
        <f ca="1" t="shared" si="10"/>
        <v>1659.8595592</v>
      </c>
      <c r="T33" s="238">
        <f ca="1" t="shared" si="11"/>
        <v>742.6895592</v>
      </c>
      <c r="U33" s="179"/>
    </row>
    <row r="34" s="122" customFormat="1" ht="17" customHeight="1" spans="1:21">
      <c r="A34" s="215">
        <f>工程量核对表!A28</f>
        <v>10</v>
      </c>
      <c r="B34" s="216" t="str">
        <f>工程量核对表!B28</f>
        <v>M7.5浆砌页岩砖</v>
      </c>
      <c r="C34" s="158" t="str">
        <f>工程量核对表!C28</f>
        <v>m3</v>
      </c>
      <c r="D34" s="217">
        <v>16.85</v>
      </c>
      <c r="E34" s="217">
        <v>637.15</v>
      </c>
      <c r="F34" s="217"/>
      <c r="G34" s="217">
        <v>10735.98</v>
      </c>
      <c r="H34" s="217"/>
      <c r="I34" s="217">
        <v>16.15</v>
      </c>
      <c r="J34" s="217">
        <v>637.15</v>
      </c>
      <c r="K34" s="237"/>
      <c r="L34" s="217">
        <v>10289.97</v>
      </c>
      <c r="M34" s="217"/>
      <c r="N34" s="238">
        <f ca="1">工程量核对表!F28</f>
        <v>12.1198924</v>
      </c>
      <c r="O34" s="239">
        <f t="shared" si="8"/>
        <v>637.15</v>
      </c>
      <c r="P34" s="239"/>
      <c r="Q34" s="224">
        <f ca="1" t="shared" si="9"/>
        <v>7722.18944266</v>
      </c>
      <c r="R34" s="253"/>
      <c r="S34" s="239">
        <f ca="1" t="shared" si="10"/>
        <v>-3013.79055734</v>
      </c>
      <c r="T34" s="238">
        <f ca="1" t="shared" si="11"/>
        <v>-2567.78055734</v>
      </c>
      <c r="U34" s="179"/>
    </row>
    <row r="35" s="122" customFormat="1" ht="17" customHeight="1" spans="1:21">
      <c r="A35" s="215">
        <f>工程量核对表!A29</f>
        <v>11</v>
      </c>
      <c r="B35" s="216" t="str">
        <f>工程量核对表!B29</f>
        <v>铁梯制安</v>
      </c>
      <c r="C35" s="158" t="str">
        <f>工程量核对表!C29</f>
        <v>t</v>
      </c>
      <c r="D35" s="217">
        <v>0.01</v>
      </c>
      <c r="E35" s="217">
        <v>6533.67</v>
      </c>
      <c r="F35" s="217"/>
      <c r="G35" s="217">
        <v>65.34</v>
      </c>
      <c r="H35" s="217"/>
      <c r="I35" s="217">
        <v>0.01</v>
      </c>
      <c r="J35" s="217">
        <v>6533.67</v>
      </c>
      <c r="K35" s="237"/>
      <c r="L35" s="217">
        <v>65.34</v>
      </c>
      <c r="M35" s="217"/>
      <c r="N35" s="238">
        <f ca="1">工程量核对表!F29</f>
        <v>0</v>
      </c>
      <c r="O35" s="239">
        <f t="shared" si="8"/>
        <v>6533.67</v>
      </c>
      <c r="P35" s="239"/>
      <c r="Q35" s="224">
        <f ca="1" t="shared" si="9"/>
        <v>0</v>
      </c>
      <c r="R35" s="253"/>
      <c r="S35" s="239">
        <f ca="1" t="shared" si="10"/>
        <v>-65.34</v>
      </c>
      <c r="T35" s="238">
        <f ca="1" t="shared" si="11"/>
        <v>-65.34</v>
      </c>
      <c r="U35" s="179"/>
    </row>
    <row r="36" s="122" customFormat="1" ht="17" customHeight="1" spans="1:21">
      <c r="A36" s="215">
        <f>工程量核对表!A30</f>
        <v>12</v>
      </c>
      <c r="B36" s="216" t="str">
        <f>工程量核对表!B30</f>
        <v>通气、进人孔</v>
      </c>
      <c r="C36" s="158" t="str">
        <f>工程量核对表!C30</f>
        <v>套</v>
      </c>
      <c r="D36" s="217">
        <v>1</v>
      </c>
      <c r="E36" s="217">
        <v>450</v>
      </c>
      <c r="F36" s="217"/>
      <c r="G36" s="217">
        <v>450</v>
      </c>
      <c r="H36" s="217"/>
      <c r="I36" s="217">
        <v>1</v>
      </c>
      <c r="J36" s="217">
        <v>450</v>
      </c>
      <c r="K36" s="237"/>
      <c r="L36" s="217">
        <v>450</v>
      </c>
      <c r="M36" s="217"/>
      <c r="N36" s="238">
        <f ca="1">工程量核对表!F30</f>
        <v>1</v>
      </c>
      <c r="O36" s="239">
        <f t="shared" si="8"/>
        <v>450</v>
      </c>
      <c r="P36" s="239"/>
      <c r="Q36" s="224">
        <f ca="1" t="shared" si="9"/>
        <v>450</v>
      </c>
      <c r="R36" s="253"/>
      <c r="S36" s="239">
        <f ca="1" t="shared" si="10"/>
        <v>0</v>
      </c>
      <c r="T36" s="238">
        <f ca="1" t="shared" si="11"/>
        <v>0</v>
      </c>
      <c r="U36" s="179"/>
    </row>
    <row r="37" s="122" customFormat="1" ht="22.5" spans="1:21">
      <c r="A37" s="215">
        <f>工程量核对表!A31</f>
        <v>13</v>
      </c>
      <c r="B37" s="216" t="str">
        <f>工程量核对表!B31</f>
        <v>人力二次转运材料（500元/t/km,运距0.2km）</v>
      </c>
      <c r="C37" s="158" t="str">
        <f>工程量核对表!C31</f>
        <v>t</v>
      </c>
      <c r="D37" s="217">
        <v>74</v>
      </c>
      <c r="E37" s="217">
        <v>100</v>
      </c>
      <c r="F37" s="217"/>
      <c r="G37" s="217">
        <v>7400</v>
      </c>
      <c r="H37" s="217"/>
      <c r="I37" s="217">
        <v>50</v>
      </c>
      <c r="J37" s="217">
        <v>400</v>
      </c>
      <c r="K37" s="237"/>
      <c r="L37" s="217">
        <v>20000</v>
      </c>
      <c r="M37" s="217"/>
      <c r="N37" s="238"/>
      <c r="O37" s="239"/>
      <c r="P37" s="239"/>
      <c r="Q37" s="224">
        <f ca="1">SUM(Q38:Q42)</f>
        <v>3348.22868570994</v>
      </c>
      <c r="R37" s="253"/>
      <c r="S37" s="239">
        <f ca="1" t="shared" si="10"/>
        <v>-4051.77131429006</v>
      </c>
      <c r="T37" s="238">
        <f ca="1" t="shared" si="11"/>
        <v>-16651.7713142901</v>
      </c>
      <c r="U37" s="179" t="s">
        <v>67</v>
      </c>
    </row>
    <row r="38" s="122" customFormat="1" ht="17" customHeight="1" spans="1:21">
      <c r="A38" s="215"/>
      <c r="B38" s="216" t="s">
        <v>59</v>
      </c>
      <c r="C38" s="158" t="s">
        <v>60</v>
      </c>
      <c r="D38" s="217"/>
      <c r="E38" s="217"/>
      <c r="F38" s="217"/>
      <c r="G38" s="217"/>
      <c r="H38" s="217"/>
      <c r="I38" s="217"/>
      <c r="J38" s="217"/>
      <c r="K38" s="237"/>
      <c r="L38" s="217"/>
      <c r="M38" s="217"/>
      <c r="N38" s="238">
        <f ca="1">二转材料统计!K14</f>
        <v>4.79261560005111</v>
      </c>
      <c r="O38" s="239">
        <v>76.04</v>
      </c>
      <c r="P38" s="239"/>
      <c r="Q38" s="224">
        <f ca="1">N38*O38</f>
        <v>364.430490227886</v>
      </c>
      <c r="R38" s="224"/>
      <c r="S38" s="239"/>
      <c r="T38" s="238"/>
      <c r="U38" s="179"/>
    </row>
    <row r="39" s="122" customFormat="1" ht="17" customHeight="1" spans="1:21">
      <c r="A39" s="215"/>
      <c r="B39" s="216" t="s">
        <v>61</v>
      </c>
      <c r="C39" s="158" t="s">
        <v>62</v>
      </c>
      <c r="D39" s="217"/>
      <c r="E39" s="217"/>
      <c r="F39" s="217"/>
      <c r="G39" s="217"/>
      <c r="H39" s="217"/>
      <c r="I39" s="217"/>
      <c r="J39" s="217"/>
      <c r="K39" s="237"/>
      <c r="L39" s="217"/>
      <c r="M39" s="217"/>
      <c r="N39" s="238">
        <f ca="1">二转材料统计!L14</f>
        <v>9.49176062989</v>
      </c>
      <c r="O39" s="239">
        <v>98.85</v>
      </c>
      <c r="P39" s="239"/>
      <c r="Q39" s="224">
        <f ca="1">N39*O39</f>
        <v>938.260538264627</v>
      </c>
      <c r="R39" s="224"/>
      <c r="S39" s="239"/>
      <c r="T39" s="238"/>
      <c r="U39" s="179"/>
    </row>
    <row r="40" s="122" customFormat="1" ht="17" customHeight="1" spans="1:21">
      <c r="A40" s="215"/>
      <c r="B40" s="216" t="s">
        <v>63</v>
      </c>
      <c r="C40" s="158" t="s">
        <v>62</v>
      </c>
      <c r="D40" s="217"/>
      <c r="E40" s="217"/>
      <c r="F40" s="217"/>
      <c r="G40" s="217"/>
      <c r="H40" s="217"/>
      <c r="I40" s="217"/>
      <c r="J40" s="217"/>
      <c r="K40" s="237"/>
      <c r="L40" s="217"/>
      <c r="M40" s="217"/>
      <c r="N40" s="238">
        <f ca="1">二转材料统计!M14</f>
        <v>7.17836246246</v>
      </c>
      <c r="O40" s="239">
        <v>114.072</v>
      </c>
      <c r="P40" s="239"/>
      <c r="Q40" s="224">
        <f ca="1">N40*O40</f>
        <v>818.850162817737</v>
      </c>
      <c r="R40" s="224"/>
      <c r="S40" s="239"/>
      <c r="T40" s="238"/>
      <c r="U40" s="179"/>
    </row>
    <row r="41" s="122" customFormat="1" ht="17" customHeight="1" spans="1:21">
      <c r="A41" s="215"/>
      <c r="B41" s="216" t="s">
        <v>64</v>
      </c>
      <c r="C41" s="158" t="s">
        <v>65</v>
      </c>
      <c r="D41" s="217"/>
      <c r="E41" s="217"/>
      <c r="F41" s="217"/>
      <c r="G41" s="217"/>
      <c r="H41" s="217"/>
      <c r="I41" s="217"/>
      <c r="J41" s="217"/>
      <c r="K41" s="237"/>
      <c r="L41" s="217"/>
      <c r="M41" s="217"/>
      <c r="N41" s="238">
        <f ca="1">二转材料统计!N14</f>
        <v>6.4720225416</v>
      </c>
      <c r="O41" s="239">
        <f>O39*1.854</f>
        <v>183.2679</v>
      </c>
      <c r="P41" s="239"/>
      <c r="Q41" s="224">
        <f ca="1">N41*O41</f>
        <v>1186.11397995169</v>
      </c>
      <c r="R41" s="224"/>
      <c r="S41" s="239"/>
      <c r="T41" s="238"/>
      <c r="U41" s="179"/>
    </row>
    <row r="42" s="122" customFormat="1" ht="17" customHeight="1" spans="1:21">
      <c r="A42" s="215"/>
      <c r="B42" s="216" t="s">
        <v>66</v>
      </c>
      <c r="C42" s="158" t="s">
        <v>60</v>
      </c>
      <c r="D42" s="217"/>
      <c r="E42" s="217"/>
      <c r="F42" s="217"/>
      <c r="G42" s="217"/>
      <c r="H42" s="217"/>
      <c r="I42" s="217"/>
      <c r="J42" s="217"/>
      <c r="K42" s="237"/>
      <c r="L42" s="217"/>
      <c r="M42" s="217"/>
      <c r="N42" s="244">
        <f ca="1">N31+N35</f>
        <v>0.5335812</v>
      </c>
      <c r="O42" s="239">
        <f>O38</f>
        <v>76.04</v>
      </c>
      <c r="P42" s="239"/>
      <c r="Q42" s="224">
        <f ca="1">N42*O42</f>
        <v>40.573514448</v>
      </c>
      <c r="R42" s="224"/>
      <c r="S42" s="239"/>
      <c r="T42" s="238"/>
      <c r="U42" s="179"/>
    </row>
    <row r="43" s="122" customFormat="1" ht="17" customHeight="1" spans="1:21">
      <c r="A43" s="218" t="str">
        <f>工程量核对表!A32</f>
        <v>（三）</v>
      </c>
      <c r="B43" s="219" t="str">
        <f>工程量核对表!B32</f>
        <v>新建100方清水池</v>
      </c>
      <c r="C43" s="165"/>
      <c r="D43" s="220">
        <v>1</v>
      </c>
      <c r="E43" s="220">
        <v>52820.28</v>
      </c>
      <c r="F43" s="220"/>
      <c r="G43" s="220">
        <v>52820.28</v>
      </c>
      <c r="H43" s="220"/>
      <c r="I43" s="220"/>
      <c r="J43" s="240"/>
      <c r="K43" s="240"/>
      <c r="L43" s="220">
        <v>47176.17</v>
      </c>
      <c r="M43" s="220"/>
      <c r="N43" s="241"/>
      <c r="O43" s="242"/>
      <c r="P43" s="242"/>
      <c r="Q43" s="254">
        <f ca="1" t="shared" ref="Q43:T43" si="12">SUM(Q44:Q56)</f>
        <v>47637.665138228</v>
      </c>
      <c r="R43" s="255"/>
      <c r="S43" s="220">
        <f ca="1" t="shared" si="12"/>
        <v>-5182.61486177204</v>
      </c>
      <c r="T43" s="220">
        <f ca="1" t="shared" si="12"/>
        <v>461.495138227956</v>
      </c>
      <c r="U43" s="181"/>
    </row>
    <row r="44" s="122" customFormat="1" ht="17" customHeight="1" spans="1:21">
      <c r="A44" s="215">
        <f>工程量核对表!A33</f>
        <v>1</v>
      </c>
      <c r="B44" s="216" t="str">
        <f>工程量核对表!B33</f>
        <v>土方开挖</v>
      </c>
      <c r="C44" s="158" t="str">
        <f>工程量核对表!C33</f>
        <v>m3</v>
      </c>
      <c r="D44" s="217">
        <v>31</v>
      </c>
      <c r="E44" s="217">
        <v>19.7</v>
      </c>
      <c r="F44" s="217"/>
      <c r="G44" s="217">
        <v>610.7</v>
      </c>
      <c r="H44" s="217"/>
      <c r="I44" s="217">
        <v>29.72</v>
      </c>
      <c r="J44" s="217">
        <v>19.7</v>
      </c>
      <c r="K44" s="237"/>
      <c r="L44" s="217">
        <v>585.48</v>
      </c>
      <c r="M44" s="217"/>
      <c r="N44" s="238">
        <f ca="1">工程量核对表!F33</f>
        <v>29.721984</v>
      </c>
      <c r="O44" s="239">
        <f t="shared" ref="O44:O56" si="13">E44</f>
        <v>19.7</v>
      </c>
      <c r="P44" s="239"/>
      <c r="Q44" s="224">
        <f ca="1">N44*O44</f>
        <v>585.5230848</v>
      </c>
      <c r="R44" s="253"/>
      <c r="S44" s="239">
        <f ca="1">Q44-G44</f>
        <v>-25.1769152000001</v>
      </c>
      <c r="T44" s="238">
        <f ca="1">Q44-L44</f>
        <v>0.0430847999999742</v>
      </c>
      <c r="U44" s="179"/>
    </row>
    <row r="45" s="122" customFormat="1" ht="17" customHeight="1" spans="1:21">
      <c r="A45" s="215">
        <f>工程量核对表!A34</f>
        <v>2</v>
      </c>
      <c r="B45" s="216" t="str">
        <f>工程量核对表!B34</f>
        <v>石方开挖</v>
      </c>
      <c r="C45" s="158" t="str">
        <f>工程量核对表!C34</f>
        <v>m3</v>
      </c>
      <c r="D45" s="217">
        <v>124.02</v>
      </c>
      <c r="E45" s="217">
        <v>57.48</v>
      </c>
      <c r="F45" s="217"/>
      <c r="G45" s="217">
        <v>7128.67</v>
      </c>
      <c r="H45" s="217"/>
      <c r="I45" s="217">
        <v>118.89</v>
      </c>
      <c r="J45" s="217">
        <v>57.48</v>
      </c>
      <c r="K45" s="237"/>
      <c r="L45" s="217">
        <v>6833.8</v>
      </c>
      <c r="M45" s="217"/>
      <c r="N45" s="238">
        <f ca="1">工程量核对表!F34</f>
        <v>118.887936</v>
      </c>
      <c r="O45" s="239">
        <f t="shared" si="13"/>
        <v>57.48</v>
      </c>
      <c r="P45" s="239"/>
      <c r="Q45" s="224">
        <f ca="1" t="shared" ref="Q45:Q61" si="14">N45*O45</f>
        <v>6833.67856128</v>
      </c>
      <c r="R45" s="253"/>
      <c r="S45" s="239">
        <f ca="1" t="shared" ref="S45:S56" si="15">Q45-G45</f>
        <v>-294.991438720001</v>
      </c>
      <c r="T45" s="238">
        <f ca="1" t="shared" ref="T45:T56" si="16">Q45-L45</f>
        <v>-0.121438720000697</v>
      </c>
      <c r="U45" s="179"/>
    </row>
    <row r="46" s="122" customFormat="1" ht="17" customHeight="1" spans="1:21">
      <c r="A46" s="215">
        <f>工程量核对表!A35</f>
        <v>3</v>
      </c>
      <c r="B46" s="216" t="str">
        <f>工程量核对表!B35</f>
        <v>土方回填</v>
      </c>
      <c r="C46" s="158" t="str">
        <f>工程量核对表!C35</f>
        <v>m3</v>
      </c>
      <c r="D46" s="217">
        <v>46.51</v>
      </c>
      <c r="E46" s="217">
        <v>27.94</v>
      </c>
      <c r="F46" s="217"/>
      <c r="G46" s="217">
        <v>1299.49</v>
      </c>
      <c r="H46" s="217"/>
      <c r="I46" s="217">
        <v>51.98</v>
      </c>
      <c r="J46" s="217">
        <v>27.94</v>
      </c>
      <c r="K46" s="237"/>
      <c r="L46" s="217">
        <v>1452.32</v>
      </c>
      <c r="M46" s="217"/>
      <c r="N46" s="238">
        <f ca="1">工程量核对表!F35</f>
        <v>42.63492</v>
      </c>
      <c r="O46" s="239">
        <f t="shared" si="13"/>
        <v>27.94</v>
      </c>
      <c r="P46" s="239"/>
      <c r="Q46" s="224">
        <f ca="1" t="shared" si="14"/>
        <v>1191.2196648</v>
      </c>
      <c r="R46" s="253"/>
      <c r="S46" s="239">
        <f ca="1" t="shared" si="15"/>
        <v>-108.2703352</v>
      </c>
      <c r="T46" s="238">
        <f ca="1" t="shared" si="16"/>
        <v>-261.1003352</v>
      </c>
      <c r="U46" s="179"/>
    </row>
    <row r="47" s="122" customFormat="1" ht="17" customHeight="1" spans="1:21">
      <c r="A47" s="215">
        <f>工程量核对表!A36</f>
        <v>4</v>
      </c>
      <c r="B47" s="216" t="str">
        <f>工程量核对表!B36</f>
        <v>30cm厚覆土</v>
      </c>
      <c r="C47" s="158" t="str">
        <f>工程量核对表!C36</f>
        <v>m3</v>
      </c>
      <c r="D47" s="217">
        <v>11.54</v>
      </c>
      <c r="E47" s="217">
        <v>27.94</v>
      </c>
      <c r="F47" s="217"/>
      <c r="G47" s="217">
        <v>322.43</v>
      </c>
      <c r="H47" s="217"/>
      <c r="I47" s="217">
        <v>11.54</v>
      </c>
      <c r="J47" s="217">
        <v>27.94</v>
      </c>
      <c r="K47" s="237"/>
      <c r="L47" s="217">
        <v>322.43</v>
      </c>
      <c r="M47" s="217"/>
      <c r="N47" s="238">
        <f ca="1">工程量核对表!F36</f>
        <v>11.6055342</v>
      </c>
      <c r="O47" s="239">
        <f t="shared" si="13"/>
        <v>27.94</v>
      </c>
      <c r="P47" s="239"/>
      <c r="Q47" s="224">
        <f ca="1" t="shared" si="14"/>
        <v>324.258625548</v>
      </c>
      <c r="R47" s="253"/>
      <c r="S47" s="239">
        <f ca="1" t="shared" si="15"/>
        <v>1.82862554799999</v>
      </c>
      <c r="T47" s="238">
        <f ca="1" t="shared" si="16"/>
        <v>1.82862554799999</v>
      </c>
      <c r="U47" s="179"/>
    </row>
    <row r="48" s="122" customFormat="1" ht="17" customHeight="1" spans="1:21">
      <c r="A48" s="215">
        <f>工程量核对表!A37</f>
        <v>5</v>
      </c>
      <c r="B48" s="216" t="str">
        <f>工程量核对表!B37</f>
        <v>C25混凝土浇筑</v>
      </c>
      <c r="C48" s="158" t="str">
        <f>工程量核对表!C37</f>
        <v>m3</v>
      </c>
      <c r="D48" s="217">
        <v>17.19</v>
      </c>
      <c r="E48" s="217">
        <v>626.37</v>
      </c>
      <c r="F48" s="217"/>
      <c r="G48" s="217">
        <v>10767.3</v>
      </c>
      <c r="H48" s="217"/>
      <c r="I48" s="217">
        <v>17.38</v>
      </c>
      <c r="J48" s="217">
        <v>626.37</v>
      </c>
      <c r="K48" s="237"/>
      <c r="L48" s="217">
        <v>10886.31</v>
      </c>
      <c r="M48" s="217"/>
      <c r="N48" s="238">
        <f ca="1">工程量核对表!F37</f>
        <v>17.6669275</v>
      </c>
      <c r="O48" s="239">
        <f t="shared" si="13"/>
        <v>626.37</v>
      </c>
      <c r="P48" s="239"/>
      <c r="Q48" s="224">
        <f ca="1" t="shared" si="14"/>
        <v>11066.033378175</v>
      </c>
      <c r="R48" s="253"/>
      <c r="S48" s="239">
        <f ca="1" t="shared" si="15"/>
        <v>298.733378175</v>
      </c>
      <c r="T48" s="238">
        <f ca="1" t="shared" si="16"/>
        <v>179.723378175</v>
      </c>
      <c r="U48" s="179"/>
    </row>
    <row r="49" s="122" customFormat="1" ht="17" customHeight="1" spans="1:21">
      <c r="A49" s="215">
        <f>工程量核对表!A38</f>
        <v>6</v>
      </c>
      <c r="B49" s="216" t="str">
        <f>工程量核对表!B38</f>
        <v>模板制安</v>
      </c>
      <c r="C49" s="158" t="str">
        <f>工程量核对表!C38</f>
        <v>m2</v>
      </c>
      <c r="D49" s="217">
        <v>43.92</v>
      </c>
      <c r="E49" s="217">
        <v>58.41</v>
      </c>
      <c r="F49" s="217"/>
      <c r="G49" s="217">
        <v>2565.37</v>
      </c>
      <c r="H49" s="217"/>
      <c r="I49" s="217">
        <v>56.97</v>
      </c>
      <c r="J49" s="217">
        <v>58.41</v>
      </c>
      <c r="K49" s="237"/>
      <c r="L49" s="217">
        <v>3327.62</v>
      </c>
      <c r="M49" s="217"/>
      <c r="N49" s="238">
        <f ca="1">工程量核对表!F38</f>
        <v>59.205614</v>
      </c>
      <c r="O49" s="239">
        <f t="shared" si="13"/>
        <v>58.41</v>
      </c>
      <c r="P49" s="239"/>
      <c r="Q49" s="224">
        <f ca="1" t="shared" si="14"/>
        <v>3458.19991374</v>
      </c>
      <c r="R49" s="253"/>
      <c r="S49" s="239">
        <f ca="1" t="shared" si="15"/>
        <v>892.82991374</v>
      </c>
      <c r="T49" s="238">
        <f ca="1" t="shared" si="16"/>
        <v>130.57991374</v>
      </c>
      <c r="U49" s="179"/>
    </row>
    <row r="50" s="122" customFormat="1" ht="17" customHeight="1" spans="1:21">
      <c r="A50" s="215">
        <f>工程量核对表!A39</f>
        <v>7</v>
      </c>
      <c r="B50" s="216" t="str">
        <f>工程量核对表!B39</f>
        <v>钢筋制安</v>
      </c>
      <c r="C50" s="158" t="str">
        <f>工程量核对表!C39</f>
        <v>t</v>
      </c>
      <c r="D50" s="217">
        <v>0.86</v>
      </c>
      <c r="E50" s="217">
        <v>6333.7</v>
      </c>
      <c r="F50" s="217"/>
      <c r="G50" s="217">
        <v>5446.98</v>
      </c>
      <c r="H50" s="217"/>
      <c r="I50" s="217">
        <v>0.7</v>
      </c>
      <c r="J50" s="217">
        <v>6333.7</v>
      </c>
      <c r="K50" s="237"/>
      <c r="L50" s="217">
        <v>4433.59</v>
      </c>
      <c r="M50" s="217"/>
      <c r="N50" s="244">
        <f ca="1">工程量核对表!F39</f>
        <v>0.63871536</v>
      </c>
      <c r="O50" s="239">
        <f t="shared" si="13"/>
        <v>6333.7</v>
      </c>
      <c r="P50" s="239"/>
      <c r="Q50" s="224">
        <f ca="1" t="shared" si="14"/>
        <v>4045.431475632</v>
      </c>
      <c r="R50" s="253"/>
      <c r="S50" s="239">
        <f ca="1" t="shared" si="15"/>
        <v>-1401.548524368</v>
      </c>
      <c r="T50" s="238">
        <f ca="1" t="shared" si="16"/>
        <v>-388.158524368</v>
      </c>
      <c r="U50" s="179"/>
    </row>
    <row r="51" s="122" customFormat="1" ht="17" customHeight="1" spans="1:21">
      <c r="A51" s="215">
        <f>工程量核对表!A40</f>
        <v>8</v>
      </c>
      <c r="B51" s="216" t="str">
        <f>工程量核对表!B40</f>
        <v>M10砂浆抹面</v>
      </c>
      <c r="C51" s="158" t="str">
        <f>工程量核对表!C40</f>
        <v>m2</v>
      </c>
      <c r="D51" s="217">
        <v>278.11</v>
      </c>
      <c r="E51" s="217">
        <v>20.51</v>
      </c>
      <c r="F51" s="217"/>
      <c r="G51" s="217">
        <v>5704.04</v>
      </c>
      <c r="H51" s="217"/>
      <c r="I51" s="217">
        <v>92.93</v>
      </c>
      <c r="J51" s="217">
        <v>20.51</v>
      </c>
      <c r="K51" s="237"/>
      <c r="L51" s="217">
        <v>1893.48</v>
      </c>
      <c r="M51" s="217"/>
      <c r="N51" s="238">
        <f ca="1">工程量核对表!F40</f>
        <v>103.43096</v>
      </c>
      <c r="O51" s="239">
        <f t="shared" si="13"/>
        <v>20.51</v>
      </c>
      <c r="P51" s="239"/>
      <c r="Q51" s="224">
        <f ca="1" t="shared" si="14"/>
        <v>2121.3689896</v>
      </c>
      <c r="R51" s="253"/>
      <c r="S51" s="239">
        <f ca="1" t="shared" si="15"/>
        <v>-3582.6710104</v>
      </c>
      <c r="T51" s="238">
        <f ca="1" t="shared" si="16"/>
        <v>227.8889896</v>
      </c>
      <c r="U51" s="179"/>
    </row>
    <row r="52" s="122" customFormat="1" ht="17" customHeight="1" spans="1:21">
      <c r="A52" s="215">
        <f>工程量核对表!A41</f>
        <v>9</v>
      </c>
      <c r="B52" s="216" t="str">
        <f>工程量核对表!B41</f>
        <v>池壁贴瓷砖</v>
      </c>
      <c r="C52" s="158" t="str">
        <f>工程量核对表!C41</f>
        <v>m2</v>
      </c>
      <c r="D52" s="217">
        <v>16.44</v>
      </c>
      <c r="E52" s="217">
        <v>95.34</v>
      </c>
      <c r="F52" s="217"/>
      <c r="G52" s="217">
        <v>1567.39</v>
      </c>
      <c r="H52" s="217"/>
      <c r="I52" s="217">
        <v>26.31</v>
      </c>
      <c r="J52" s="217">
        <v>95.34</v>
      </c>
      <c r="K52" s="237"/>
      <c r="L52" s="217">
        <v>2508.4</v>
      </c>
      <c r="M52" s="217"/>
      <c r="N52" s="238">
        <f ca="1">工程量核对表!F41</f>
        <v>32.696</v>
      </c>
      <c r="O52" s="239">
        <f t="shared" si="13"/>
        <v>95.34</v>
      </c>
      <c r="P52" s="224"/>
      <c r="Q52" s="224">
        <f ca="1" t="shared" si="14"/>
        <v>3117.23664</v>
      </c>
      <c r="R52" s="253"/>
      <c r="S52" s="239">
        <f ca="1" t="shared" si="15"/>
        <v>1549.84664</v>
      </c>
      <c r="T52" s="238">
        <f ca="1" t="shared" si="16"/>
        <v>608.83664</v>
      </c>
      <c r="U52" s="176"/>
    </row>
    <row r="53" s="122" customFormat="1" ht="17" customHeight="1" spans="1:21">
      <c r="A53" s="215">
        <f>工程量核对表!A42</f>
        <v>10</v>
      </c>
      <c r="B53" s="216" t="str">
        <f>工程量核对表!B42</f>
        <v>M7.5浆砌页岩砖</v>
      </c>
      <c r="C53" s="158" t="str">
        <f>工程量核对表!C42</f>
        <v>m3</v>
      </c>
      <c r="D53" s="217">
        <v>19.45</v>
      </c>
      <c r="E53" s="217">
        <v>637.15</v>
      </c>
      <c r="F53" s="217"/>
      <c r="G53" s="217">
        <v>12392.57</v>
      </c>
      <c r="H53" s="217"/>
      <c r="I53" s="217">
        <v>16.35</v>
      </c>
      <c r="J53" s="217">
        <v>637.15</v>
      </c>
      <c r="K53" s="237"/>
      <c r="L53" s="217">
        <v>10417.4</v>
      </c>
      <c r="M53" s="217"/>
      <c r="N53" s="238">
        <f ca="1">工程量核对表!F42</f>
        <v>17.7246498</v>
      </c>
      <c r="O53" s="239">
        <f t="shared" si="13"/>
        <v>637.15</v>
      </c>
      <c r="P53" s="224"/>
      <c r="Q53" s="224">
        <f ca="1" t="shared" si="14"/>
        <v>11293.26062007</v>
      </c>
      <c r="R53" s="253"/>
      <c r="S53" s="239">
        <f ca="1" t="shared" si="15"/>
        <v>-1099.30937993</v>
      </c>
      <c r="T53" s="238">
        <f ca="1" t="shared" si="16"/>
        <v>875.86062007</v>
      </c>
      <c r="U53" s="176"/>
    </row>
    <row r="54" s="122" customFormat="1" ht="17" customHeight="1" spans="1:21">
      <c r="A54" s="215">
        <f>工程量核对表!A43</f>
        <v>11</v>
      </c>
      <c r="B54" s="216" t="str">
        <f>工程量核对表!B43</f>
        <v>铁梯制安</v>
      </c>
      <c r="C54" s="158" t="str">
        <f>工程量核对表!C43</f>
        <v>t</v>
      </c>
      <c r="D54" s="217">
        <v>0.01</v>
      </c>
      <c r="E54" s="217">
        <v>6533.67</v>
      </c>
      <c r="F54" s="217"/>
      <c r="G54" s="217">
        <v>65.34</v>
      </c>
      <c r="H54" s="217"/>
      <c r="I54" s="217">
        <v>0.01</v>
      </c>
      <c r="J54" s="217">
        <v>6533.67</v>
      </c>
      <c r="K54" s="237"/>
      <c r="L54" s="217">
        <v>65.34</v>
      </c>
      <c r="M54" s="217"/>
      <c r="N54" s="238">
        <f ca="1">工程量核对表!F43</f>
        <v>0</v>
      </c>
      <c r="O54" s="239">
        <f t="shared" si="13"/>
        <v>6533.67</v>
      </c>
      <c r="P54" s="239"/>
      <c r="Q54" s="224">
        <f ca="1" t="shared" si="14"/>
        <v>0</v>
      </c>
      <c r="R54" s="253"/>
      <c r="S54" s="239">
        <f ca="1" t="shared" si="15"/>
        <v>-65.34</v>
      </c>
      <c r="T54" s="238">
        <f ca="1" t="shared" si="16"/>
        <v>-65.34</v>
      </c>
      <c r="U54" s="179"/>
    </row>
    <row r="55" s="122" customFormat="1" ht="17" customHeight="1" spans="1:21">
      <c r="A55" s="215">
        <f>工程量核对表!A44</f>
        <v>12</v>
      </c>
      <c r="B55" s="216" t="str">
        <f>工程量核对表!B44</f>
        <v>通气、进人孔</v>
      </c>
      <c r="C55" s="158" t="str">
        <f>工程量核对表!C44</f>
        <v>套</v>
      </c>
      <c r="D55" s="217">
        <v>1</v>
      </c>
      <c r="E55" s="217">
        <v>450</v>
      </c>
      <c r="F55" s="217"/>
      <c r="G55" s="217">
        <v>450</v>
      </c>
      <c r="H55" s="217"/>
      <c r="I55" s="217">
        <v>1</v>
      </c>
      <c r="J55" s="217">
        <v>450</v>
      </c>
      <c r="K55" s="237"/>
      <c r="L55" s="217">
        <v>450</v>
      </c>
      <c r="M55" s="217"/>
      <c r="N55" s="238">
        <f ca="1">工程量核对表!F44</f>
        <v>1</v>
      </c>
      <c r="O55" s="239">
        <f t="shared" si="13"/>
        <v>450</v>
      </c>
      <c r="P55" s="239"/>
      <c r="Q55" s="224">
        <f ca="1" t="shared" si="14"/>
        <v>450</v>
      </c>
      <c r="R55" s="253"/>
      <c r="S55" s="239">
        <f ca="1" t="shared" si="15"/>
        <v>0</v>
      </c>
      <c r="T55" s="238">
        <f ca="1" t="shared" si="16"/>
        <v>0</v>
      </c>
      <c r="U55" s="179"/>
    </row>
    <row r="56" s="122" customFormat="1" ht="17" customHeight="1" spans="1:21">
      <c r="A56" s="215">
        <f>工程量核对表!A45</f>
        <v>13</v>
      </c>
      <c r="B56" s="216" t="str">
        <f>工程量核对表!B45</f>
        <v>人力二次转运材料（500元/t/km,运距0.1km）</v>
      </c>
      <c r="C56" s="158" t="str">
        <f>工程量核对表!C45</f>
        <v>t</v>
      </c>
      <c r="D56" s="217">
        <v>90</v>
      </c>
      <c r="E56" s="217">
        <v>50</v>
      </c>
      <c r="F56" s="217"/>
      <c r="G56" s="217">
        <v>4500</v>
      </c>
      <c r="H56" s="217"/>
      <c r="I56" s="217">
        <v>80</v>
      </c>
      <c r="J56" s="217">
        <v>50</v>
      </c>
      <c r="K56" s="237"/>
      <c r="L56" s="217">
        <v>4000</v>
      </c>
      <c r="M56" s="217"/>
      <c r="N56" s="238"/>
      <c r="O56" s="239"/>
      <c r="P56" s="239"/>
      <c r="Q56" s="224">
        <f ca="1">SUM(Q57:Q61)</f>
        <v>3151.45418458296</v>
      </c>
      <c r="R56" s="253"/>
      <c r="S56" s="239">
        <f ca="1" t="shared" si="15"/>
        <v>-1348.54581541704</v>
      </c>
      <c r="T56" s="238">
        <f ca="1" t="shared" si="16"/>
        <v>-848.545815417044</v>
      </c>
      <c r="U56" s="179" t="s">
        <v>68</v>
      </c>
    </row>
    <row r="57" s="193" customFormat="1" ht="17" customHeight="1" spans="1:21">
      <c r="A57" s="221"/>
      <c r="B57" s="222" t="s">
        <v>59</v>
      </c>
      <c r="C57" s="223" t="s">
        <v>60</v>
      </c>
      <c r="D57" s="224"/>
      <c r="E57" s="224"/>
      <c r="F57" s="224"/>
      <c r="G57" s="224"/>
      <c r="H57" s="224"/>
      <c r="I57" s="224"/>
      <c r="J57" s="224"/>
      <c r="K57" s="239"/>
      <c r="L57" s="224"/>
      <c r="M57" s="224"/>
      <c r="N57" s="238">
        <f ca="1">二转材料统计!W14</f>
        <v>8.77245075459615</v>
      </c>
      <c r="O57" s="239">
        <v>35.342</v>
      </c>
      <c r="P57" s="239"/>
      <c r="Q57" s="224">
        <f ca="1" t="shared" si="14"/>
        <v>310.035954568937</v>
      </c>
      <c r="R57" s="253"/>
      <c r="S57" s="239"/>
      <c r="T57" s="238"/>
      <c r="U57" s="256"/>
    </row>
    <row r="58" s="193" customFormat="1" ht="17" customHeight="1" spans="1:21">
      <c r="A58" s="221"/>
      <c r="B58" s="222" t="s">
        <v>61</v>
      </c>
      <c r="C58" s="223" t="s">
        <v>62</v>
      </c>
      <c r="D58" s="224"/>
      <c r="E58" s="224"/>
      <c r="F58" s="224"/>
      <c r="G58" s="224"/>
      <c r="H58" s="224"/>
      <c r="I58" s="224"/>
      <c r="J58" s="224"/>
      <c r="K58" s="239"/>
      <c r="L58" s="224"/>
      <c r="M58" s="224"/>
      <c r="N58" s="238">
        <f ca="1">二转材料统计!X14</f>
        <v>16.00133671225</v>
      </c>
      <c r="O58" s="239">
        <v>55.04</v>
      </c>
      <c r="P58" s="239"/>
      <c r="Q58" s="224">
        <f ca="1" t="shared" si="14"/>
        <v>880.71357264224</v>
      </c>
      <c r="R58" s="253"/>
      <c r="S58" s="239"/>
      <c r="T58" s="238"/>
      <c r="U58" s="256"/>
    </row>
    <row r="59" s="193" customFormat="1" ht="17" customHeight="1" spans="1:21">
      <c r="A59" s="221"/>
      <c r="B59" s="222" t="s">
        <v>63</v>
      </c>
      <c r="C59" s="223" t="s">
        <v>62</v>
      </c>
      <c r="D59" s="224"/>
      <c r="E59" s="224"/>
      <c r="F59" s="224"/>
      <c r="G59" s="224"/>
      <c r="H59" s="224"/>
      <c r="I59" s="224"/>
      <c r="J59" s="224"/>
      <c r="K59" s="239"/>
      <c r="L59" s="224"/>
      <c r="M59" s="224"/>
      <c r="N59" s="238">
        <f ca="1">二转材料统计!Y14</f>
        <v>15.3101593715</v>
      </c>
      <c r="O59" s="239">
        <v>63.506</v>
      </c>
      <c r="P59" s="239"/>
      <c r="Q59" s="224">
        <f ca="1" t="shared" si="14"/>
        <v>972.286981046479</v>
      </c>
      <c r="R59" s="253"/>
      <c r="S59" s="239"/>
      <c r="T59" s="238"/>
      <c r="U59" s="256"/>
    </row>
    <row r="60" s="193" customFormat="1" ht="17" customHeight="1" spans="1:21">
      <c r="A60" s="221"/>
      <c r="B60" s="222" t="s">
        <v>64</v>
      </c>
      <c r="C60" s="223" t="s">
        <v>65</v>
      </c>
      <c r="D60" s="224"/>
      <c r="E60" s="224"/>
      <c r="F60" s="224"/>
      <c r="G60" s="224"/>
      <c r="H60" s="224"/>
      <c r="I60" s="224"/>
      <c r="J60" s="224"/>
      <c r="K60" s="239"/>
      <c r="L60" s="224"/>
      <c r="M60" s="224"/>
      <c r="N60" s="238">
        <f ca="1">二转材料统计!Z14</f>
        <v>9.4649629932</v>
      </c>
      <c r="O60" s="239">
        <f>O58*1.854</f>
        <v>102.04416</v>
      </c>
      <c r="P60" s="239"/>
      <c r="Q60" s="224">
        <f ca="1" t="shared" si="14"/>
        <v>965.84419807218</v>
      </c>
      <c r="R60" s="253"/>
      <c r="S60" s="239"/>
      <c r="T60" s="238"/>
      <c r="U60" s="256"/>
    </row>
    <row r="61" s="193" customFormat="1" ht="17" customHeight="1" spans="1:21">
      <c r="A61" s="221"/>
      <c r="B61" s="222" t="s">
        <v>66</v>
      </c>
      <c r="C61" s="223" t="s">
        <v>60</v>
      </c>
      <c r="D61" s="224"/>
      <c r="E61" s="224"/>
      <c r="F61" s="224"/>
      <c r="G61" s="224"/>
      <c r="H61" s="224"/>
      <c r="I61" s="224"/>
      <c r="J61" s="224"/>
      <c r="K61" s="239"/>
      <c r="L61" s="224"/>
      <c r="M61" s="224"/>
      <c r="N61" s="244">
        <f ca="1">N50</f>
        <v>0.63871536</v>
      </c>
      <c r="O61" s="239">
        <f>O57</f>
        <v>35.342</v>
      </c>
      <c r="P61" s="239"/>
      <c r="Q61" s="224">
        <f ca="1" t="shared" si="14"/>
        <v>22.57347825312</v>
      </c>
      <c r="R61" s="253"/>
      <c r="S61" s="239"/>
      <c r="T61" s="238"/>
      <c r="U61" s="256"/>
    </row>
    <row r="62" s="122" customFormat="1" ht="17" customHeight="1" spans="1:21">
      <c r="A62" s="218" t="str">
        <f>工程量核对表!A46</f>
        <v>（四）</v>
      </c>
      <c r="B62" s="219" t="str">
        <f>工程量核对表!B46</f>
        <v>硬化带</v>
      </c>
      <c r="C62" s="165" t="str">
        <f>工程量核对表!C46</f>
        <v>m</v>
      </c>
      <c r="D62" s="220">
        <v>55</v>
      </c>
      <c r="E62" s="220">
        <v>83.25</v>
      </c>
      <c r="F62" s="220"/>
      <c r="G62" s="220">
        <v>4578.71</v>
      </c>
      <c r="H62" s="220"/>
      <c r="I62" s="220"/>
      <c r="J62" s="240"/>
      <c r="K62" s="240"/>
      <c r="L62" s="220">
        <v>2046.85</v>
      </c>
      <c r="M62" s="220"/>
      <c r="N62" s="241"/>
      <c r="O62" s="242"/>
      <c r="P62" s="242"/>
      <c r="Q62" s="254">
        <f ca="1" t="shared" ref="Q62:T62" si="17">SUM(Q63:Q65)</f>
        <v>6485.49366928148</v>
      </c>
      <c r="R62" s="255"/>
      <c r="S62" s="242">
        <f ca="1" t="shared" si="17"/>
        <v>1906.78366928148</v>
      </c>
      <c r="T62" s="241">
        <f ca="1" t="shared" si="17"/>
        <v>4438.64366928148</v>
      </c>
      <c r="U62" s="181"/>
    </row>
    <row r="63" s="122" customFormat="1" ht="17" customHeight="1" spans="1:21">
      <c r="A63" s="215">
        <f>工程量核对表!A47</f>
        <v>1</v>
      </c>
      <c r="B63" s="216" t="str">
        <f>工程量核对表!B47</f>
        <v>5cm厚砂石垫层</v>
      </c>
      <c r="C63" s="158" t="str">
        <f>工程量核对表!C47</f>
        <v>m3</v>
      </c>
      <c r="D63" s="217">
        <v>2.2</v>
      </c>
      <c r="E63" s="217">
        <v>191.39</v>
      </c>
      <c r="F63" s="217"/>
      <c r="G63" s="217">
        <v>421.06</v>
      </c>
      <c r="H63" s="217"/>
      <c r="I63" s="217">
        <v>1.1</v>
      </c>
      <c r="J63" s="217">
        <v>191.39</v>
      </c>
      <c r="K63" s="237"/>
      <c r="L63" s="217">
        <v>210.53</v>
      </c>
      <c r="M63" s="217"/>
      <c r="N63" s="238">
        <f ca="1">工程量核对表!F47</f>
        <v>4.3286875</v>
      </c>
      <c r="O63" s="239">
        <f>E63</f>
        <v>191.39</v>
      </c>
      <c r="P63" s="239"/>
      <c r="Q63" s="224">
        <f ca="1" t="shared" ref="Q63:Q70" si="18">N63*O63</f>
        <v>828.467500625</v>
      </c>
      <c r="R63" s="253"/>
      <c r="S63" s="239">
        <f ca="1">Q63-G63</f>
        <v>407.407500625</v>
      </c>
      <c r="T63" s="238">
        <f ca="1">Q63-L63</f>
        <v>617.937500625</v>
      </c>
      <c r="U63" s="179"/>
    </row>
    <row r="64" s="122" customFormat="1" ht="17" customHeight="1" spans="1:21">
      <c r="A64" s="215">
        <f>工程量核对表!A48</f>
        <v>2</v>
      </c>
      <c r="B64" s="216" t="str">
        <f>工程量核对表!B48</f>
        <v>10cm厚C20砼硬化带</v>
      </c>
      <c r="C64" s="158" t="str">
        <f>工程量核对表!C48</f>
        <v>m3</v>
      </c>
      <c r="D64" s="217">
        <v>4.4</v>
      </c>
      <c r="E64" s="217">
        <v>607.42</v>
      </c>
      <c r="F64" s="217"/>
      <c r="G64" s="217">
        <v>2672.65</v>
      </c>
      <c r="H64" s="217"/>
      <c r="I64" s="217">
        <v>2.2</v>
      </c>
      <c r="J64" s="217">
        <v>607.42</v>
      </c>
      <c r="K64" s="237"/>
      <c r="L64" s="217">
        <v>1336.32</v>
      </c>
      <c r="M64" s="217"/>
      <c r="N64" s="238">
        <f ca="1">工程量核对表!F48</f>
        <v>8.657375</v>
      </c>
      <c r="O64" s="239">
        <f>E64</f>
        <v>607.42</v>
      </c>
      <c r="P64" s="239"/>
      <c r="Q64" s="224">
        <f ca="1" t="shared" si="18"/>
        <v>5258.6627225</v>
      </c>
      <c r="R64" s="253"/>
      <c r="S64" s="239">
        <f ca="1">Q64-G64</f>
        <v>2586.0127225</v>
      </c>
      <c r="T64" s="238">
        <f ca="1">Q64-L64</f>
        <v>3922.3427225</v>
      </c>
      <c r="U64" s="179"/>
    </row>
    <row r="65" s="122" customFormat="1" ht="17" customHeight="1" spans="1:21">
      <c r="A65" s="215">
        <f>工程量核对表!A49</f>
        <v>3</v>
      </c>
      <c r="B65" s="216" t="str">
        <f>工程量核对表!B49</f>
        <v>人力二次转运材料（500元/t/km,运距0.2km）</v>
      </c>
      <c r="C65" s="158" t="str">
        <f>工程量核对表!C49</f>
        <v>t</v>
      </c>
      <c r="D65" s="217">
        <v>14.85</v>
      </c>
      <c r="E65" s="217">
        <v>100</v>
      </c>
      <c r="F65" s="217"/>
      <c r="G65" s="217">
        <v>1485</v>
      </c>
      <c r="H65" s="217"/>
      <c r="I65" s="217">
        <v>5</v>
      </c>
      <c r="J65" s="217">
        <v>100</v>
      </c>
      <c r="K65" s="237"/>
      <c r="L65" s="217">
        <v>500</v>
      </c>
      <c r="M65" s="217"/>
      <c r="N65" s="238"/>
      <c r="O65" s="239"/>
      <c r="P65" s="239"/>
      <c r="Q65" s="224">
        <f ca="1">SUM(Q66:Q68)</f>
        <v>398.363446156482</v>
      </c>
      <c r="R65" s="253"/>
      <c r="S65" s="239">
        <f ca="1">Q65-G65</f>
        <v>-1086.63655384352</v>
      </c>
      <c r="T65" s="238">
        <f ca="1">Q65-L65</f>
        <v>-101.636553843518</v>
      </c>
      <c r="U65" s="179" t="s">
        <v>68</v>
      </c>
    </row>
    <row r="66" s="122" customFormat="1" ht="17" customHeight="1" spans="1:21">
      <c r="A66" s="215"/>
      <c r="B66" s="216" t="s">
        <v>59</v>
      </c>
      <c r="C66" s="158" t="s">
        <v>60</v>
      </c>
      <c r="D66" s="217"/>
      <c r="E66" s="217"/>
      <c r="F66" s="217"/>
      <c r="G66" s="217"/>
      <c r="H66" s="217"/>
      <c r="I66" s="217"/>
      <c r="J66" s="217"/>
      <c r="K66" s="237"/>
      <c r="L66" s="217"/>
      <c r="M66" s="217"/>
      <c r="N66" s="238">
        <f ca="1">二转材料统计!AC14</f>
        <v>0.450555767125</v>
      </c>
      <c r="O66" s="239">
        <v>35.342</v>
      </c>
      <c r="P66" s="239"/>
      <c r="Q66" s="224">
        <f ca="1" t="shared" si="18"/>
        <v>15.9235419217317</v>
      </c>
      <c r="R66" s="253"/>
      <c r="S66" s="239"/>
      <c r="T66" s="238"/>
      <c r="U66" s="179"/>
    </row>
    <row r="67" s="122" customFormat="1" ht="17" customHeight="1" spans="1:21">
      <c r="A67" s="215"/>
      <c r="B67" s="216" t="s">
        <v>61</v>
      </c>
      <c r="C67" s="158" t="s">
        <v>62</v>
      </c>
      <c r="D67" s="217"/>
      <c r="E67" s="217"/>
      <c r="F67" s="217"/>
      <c r="G67" s="217"/>
      <c r="H67" s="217"/>
      <c r="I67" s="217"/>
      <c r="J67" s="217"/>
      <c r="K67" s="237"/>
      <c r="L67" s="217"/>
      <c r="M67" s="217"/>
      <c r="N67" s="238">
        <f ca="1">二转材料统计!AD14</f>
        <v>1.584299625</v>
      </c>
      <c r="O67" s="239">
        <v>55.04</v>
      </c>
      <c r="P67" s="239"/>
      <c r="Q67" s="224">
        <f ca="1" t="shared" si="18"/>
        <v>87.19985136</v>
      </c>
      <c r="R67" s="253"/>
      <c r="S67" s="239"/>
      <c r="T67" s="238"/>
      <c r="U67" s="179"/>
    </row>
    <row r="68" s="122" customFormat="1" ht="17" customHeight="1" spans="1:21">
      <c r="A68" s="215"/>
      <c r="B68" s="216" t="s">
        <v>63</v>
      </c>
      <c r="C68" s="158" t="s">
        <v>62</v>
      </c>
      <c r="D68" s="217"/>
      <c r="E68" s="217"/>
      <c r="F68" s="217"/>
      <c r="G68" s="217"/>
      <c r="H68" s="217"/>
      <c r="I68" s="217"/>
      <c r="J68" s="217"/>
      <c r="K68" s="237"/>
      <c r="L68" s="217"/>
      <c r="M68" s="217"/>
      <c r="N68" s="238">
        <f ca="1">二转材料统计!AE14</f>
        <v>4.649010375</v>
      </c>
      <c r="O68" s="239">
        <v>63.506</v>
      </c>
      <c r="P68" s="239"/>
      <c r="Q68" s="224">
        <f ca="1" t="shared" si="18"/>
        <v>295.24005287475</v>
      </c>
      <c r="R68" s="253"/>
      <c r="S68" s="239"/>
      <c r="T68" s="238"/>
      <c r="U68" s="179"/>
    </row>
    <row r="69" s="122" customFormat="1" ht="17" customHeight="1" spans="1:21">
      <c r="A69" s="218" t="str">
        <f>工程量核对表!A50</f>
        <v>（五）</v>
      </c>
      <c r="B69" s="219" t="str">
        <f>工程量核对表!B50</f>
        <v>4社机压井</v>
      </c>
      <c r="C69" s="165" t="str">
        <f>工程量核对表!C50</f>
        <v>项</v>
      </c>
      <c r="D69" s="220">
        <v>1</v>
      </c>
      <c r="E69" s="220">
        <v>100000</v>
      </c>
      <c r="F69" s="220"/>
      <c r="G69" s="220">
        <v>100000</v>
      </c>
      <c r="H69" s="220"/>
      <c r="I69" s="220"/>
      <c r="J69" s="240"/>
      <c r="K69" s="240"/>
      <c r="L69" s="220"/>
      <c r="M69" s="220"/>
      <c r="N69" s="241">
        <f ca="1">工程量核对表!F50</f>
        <v>0</v>
      </c>
      <c r="O69" s="242">
        <f>E69</f>
        <v>100000</v>
      </c>
      <c r="P69" s="242"/>
      <c r="Q69" s="254">
        <f ca="1" t="shared" si="18"/>
        <v>0</v>
      </c>
      <c r="R69" s="255"/>
      <c r="S69" s="242">
        <f ca="1">Q69-G69</f>
        <v>-100000</v>
      </c>
      <c r="T69" s="241">
        <f ca="1">Q69-L69</f>
        <v>0</v>
      </c>
      <c r="U69" s="181"/>
    </row>
    <row r="70" s="122" customFormat="1" ht="17" customHeight="1" spans="1:21">
      <c r="A70" s="218" t="str">
        <f>工程量核对表!A51</f>
        <v>（六）</v>
      </c>
      <c r="B70" s="219" t="str">
        <f>工程量核对表!B51</f>
        <v>绿化种草</v>
      </c>
      <c r="C70" s="165" t="str">
        <f>工程量核对表!C51</f>
        <v>m2</v>
      </c>
      <c r="D70" s="220">
        <v>106</v>
      </c>
      <c r="E70" s="220">
        <v>45</v>
      </c>
      <c r="F70" s="220"/>
      <c r="G70" s="220">
        <v>4770</v>
      </c>
      <c r="H70" s="220"/>
      <c r="I70" s="220">
        <v>91.2</v>
      </c>
      <c r="J70" s="240">
        <v>45</v>
      </c>
      <c r="K70" s="240"/>
      <c r="L70" s="220">
        <v>4104</v>
      </c>
      <c r="M70" s="220"/>
      <c r="N70" s="241">
        <f ca="1">工程量核对表!F51</f>
        <v>41.375466</v>
      </c>
      <c r="O70" s="242">
        <f>E70</f>
        <v>45</v>
      </c>
      <c r="P70" s="242"/>
      <c r="Q70" s="254">
        <f ca="1" t="shared" si="18"/>
        <v>1861.89597</v>
      </c>
      <c r="R70" s="255"/>
      <c r="S70" s="242">
        <f ca="1">Q70-G70</f>
        <v>-2908.10403</v>
      </c>
      <c r="T70" s="241">
        <f ca="1">Q70-L70</f>
        <v>-2242.10403</v>
      </c>
      <c r="U70" s="181"/>
    </row>
    <row r="71" s="122" customFormat="1" ht="17" customHeight="1" spans="1:21">
      <c r="A71" s="218" t="str">
        <f>工程量核对表!A52</f>
        <v>（七）</v>
      </c>
      <c r="B71" s="219" t="str">
        <f>工程量核对表!B52</f>
        <v>围墙</v>
      </c>
      <c r="C71" s="165" t="str">
        <f>工程量核对表!C52</f>
        <v>m</v>
      </c>
      <c r="D71" s="220">
        <v>84</v>
      </c>
      <c r="E71" s="220">
        <v>793.78</v>
      </c>
      <c r="F71" s="220"/>
      <c r="G71" s="220">
        <v>66677.3</v>
      </c>
      <c r="H71" s="220"/>
      <c r="I71" s="220"/>
      <c r="J71" s="240"/>
      <c r="K71" s="240"/>
      <c r="L71" s="220">
        <v>41876.22</v>
      </c>
      <c r="M71" s="220"/>
      <c r="N71" s="241"/>
      <c r="O71" s="242"/>
      <c r="P71" s="242"/>
      <c r="Q71" s="254">
        <f ca="1" t="shared" ref="Q71:T71" si="19">SUM(Q72:Q80)</f>
        <v>33541.5636132495</v>
      </c>
      <c r="R71" s="255"/>
      <c r="S71" s="220">
        <f ca="1" t="shared" si="19"/>
        <v>-33135.7363867505</v>
      </c>
      <c r="T71" s="220">
        <f ca="1" t="shared" si="19"/>
        <v>-8334.64638675046</v>
      </c>
      <c r="U71" s="181"/>
    </row>
    <row r="72" s="122" customFormat="1" ht="17" customHeight="1" spans="1:21">
      <c r="A72" s="215">
        <f>工程量核对表!A53</f>
        <v>1</v>
      </c>
      <c r="B72" s="216" t="str">
        <f>工程量核对表!B53</f>
        <v>土方开挖</v>
      </c>
      <c r="C72" s="158" t="str">
        <f>工程量核对表!C53</f>
        <v>m3</v>
      </c>
      <c r="D72" s="217">
        <v>8.4</v>
      </c>
      <c r="E72" s="217">
        <v>19.7</v>
      </c>
      <c r="F72" s="217"/>
      <c r="G72" s="217">
        <v>165.48</v>
      </c>
      <c r="H72" s="217"/>
      <c r="I72" s="217">
        <v>5.28</v>
      </c>
      <c r="J72" s="217">
        <v>19.7</v>
      </c>
      <c r="K72" s="237"/>
      <c r="L72" s="217">
        <v>104.02</v>
      </c>
      <c r="M72" s="217"/>
      <c r="N72" s="238">
        <f ca="1">工程量核对表!F53</f>
        <v>3.4884</v>
      </c>
      <c r="O72" s="239">
        <f t="shared" ref="O72:O80" si="20">E72</f>
        <v>19.7</v>
      </c>
      <c r="P72" s="239"/>
      <c r="Q72" s="224">
        <f ca="1">N72*O72</f>
        <v>68.72148</v>
      </c>
      <c r="R72" s="253"/>
      <c r="S72" s="239">
        <f ca="1">Q72-G72</f>
        <v>-96.75852</v>
      </c>
      <c r="T72" s="238">
        <f ca="1">Q72-L72</f>
        <v>-35.29852</v>
      </c>
      <c r="U72" s="179"/>
    </row>
    <row r="73" s="122" customFormat="1" ht="17" customHeight="1" spans="1:21">
      <c r="A73" s="215">
        <f>工程量核对表!A54</f>
        <v>2</v>
      </c>
      <c r="B73" s="216" t="str">
        <f>工程量核对表!B54</f>
        <v>石方开挖</v>
      </c>
      <c r="C73" s="158" t="str">
        <f>工程量核对表!C54</f>
        <v>m3</v>
      </c>
      <c r="D73" s="217">
        <v>8.4</v>
      </c>
      <c r="E73" s="217">
        <v>57.48</v>
      </c>
      <c r="F73" s="217"/>
      <c r="G73" s="217">
        <v>482.83</v>
      </c>
      <c r="H73" s="217"/>
      <c r="I73" s="217"/>
      <c r="J73" s="217">
        <v>57.48</v>
      </c>
      <c r="K73" s="237"/>
      <c r="L73" s="217"/>
      <c r="M73" s="217"/>
      <c r="N73" s="238">
        <f ca="1">工程量核对表!F54</f>
        <v>0</v>
      </c>
      <c r="O73" s="239">
        <f t="shared" si="20"/>
        <v>57.48</v>
      </c>
      <c r="P73" s="239"/>
      <c r="Q73" s="224">
        <f ca="1" t="shared" ref="Q73:Q87" si="21">N73*O73</f>
        <v>0</v>
      </c>
      <c r="R73" s="253"/>
      <c r="S73" s="239">
        <f ca="1" t="shared" ref="S73:S82" si="22">Q73-G73</f>
        <v>-482.83</v>
      </c>
      <c r="T73" s="238">
        <f ca="1" t="shared" ref="T73:T82" si="23">Q73-L73</f>
        <v>0</v>
      </c>
      <c r="U73" s="179"/>
    </row>
    <row r="74" s="122" customFormat="1" ht="17" customHeight="1" spans="1:21">
      <c r="A74" s="215">
        <f>工程量核对表!A55</f>
        <v>3</v>
      </c>
      <c r="B74" s="216" t="str">
        <f>工程量核对表!B55</f>
        <v>土方回填</v>
      </c>
      <c r="C74" s="158" t="str">
        <f>工程量核对表!C55</f>
        <v>m3</v>
      </c>
      <c r="D74" s="217">
        <v>4.2</v>
      </c>
      <c r="E74" s="217">
        <v>27.94</v>
      </c>
      <c r="F74" s="217"/>
      <c r="G74" s="217">
        <v>117.35</v>
      </c>
      <c r="H74" s="217"/>
      <c r="I74" s="217">
        <v>2.11</v>
      </c>
      <c r="J74" s="217">
        <v>27.94</v>
      </c>
      <c r="K74" s="237"/>
      <c r="L74" s="217">
        <v>58.95</v>
      </c>
      <c r="M74" s="217"/>
      <c r="N74" s="238">
        <f ca="1">工程量核对表!F55</f>
        <v>0</v>
      </c>
      <c r="O74" s="239">
        <f t="shared" si="20"/>
        <v>27.94</v>
      </c>
      <c r="P74" s="239"/>
      <c r="Q74" s="224">
        <f ca="1" t="shared" si="21"/>
        <v>0</v>
      </c>
      <c r="R74" s="253"/>
      <c r="S74" s="239">
        <f ca="1" t="shared" si="22"/>
        <v>-117.35</v>
      </c>
      <c r="T74" s="238">
        <f ca="1" t="shared" si="23"/>
        <v>-58.95</v>
      </c>
      <c r="U74" s="179"/>
    </row>
    <row r="75" s="122" customFormat="1" ht="17" customHeight="1" spans="1:21">
      <c r="A75" s="215">
        <f>工程量核对表!A56</f>
        <v>4</v>
      </c>
      <c r="B75" s="216" t="str">
        <f>工程量核对表!B56</f>
        <v>M7.5浆砌页岩砖(墙体)</v>
      </c>
      <c r="C75" s="158" t="str">
        <f>工程量核对表!C56</f>
        <v>m3</v>
      </c>
      <c r="D75" s="217">
        <v>29.4</v>
      </c>
      <c r="E75" s="217">
        <v>637.15</v>
      </c>
      <c r="F75" s="217"/>
      <c r="G75" s="217">
        <v>18732.21</v>
      </c>
      <c r="H75" s="217"/>
      <c r="I75" s="217">
        <v>19.79</v>
      </c>
      <c r="J75" s="217">
        <v>637.15</v>
      </c>
      <c r="K75" s="237"/>
      <c r="L75" s="217">
        <v>12609.2</v>
      </c>
      <c r="M75" s="217"/>
      <c r="N75" s="238">
        <f ca="1">工程量核对表!F56</f>
        <v>16.962928</v>
      </c>
      <c r="O75" s="239">
        <f t="shared" si="20"/>
        <v>637.15</v>
      </c>
      <c r="P75" s="239"/>
      <c r="Q75" s="224">
        <f ca="1" t="shared" si="21"/>
        <v>10807.9295752</v>
      </c>
      <c r="R75" s="253"/>
      <c r="S75" s="239">
        <f ca="1" t="shared" si="22"/>
        <v>-7924.2804248</v>
      </c>
      <c r="T75" s="238">
        <f ca="1" t="shared" si="23"/>
        <v>-1801.2704248</v>
      </c>
      <c r="U75" s="179"/>
    </row>
    <row r="76" s="122" customFormat="1" ht="17" customHeight="1" spans="1:21">
      <c r="A76" s="215">
        <f>工程量核对表!A57</f>
        <v>5</v>
      </c>
      <c r="B76" s="216" t="str">
        <f>工程量核对表!B57</f>
        <v>C25混凝土浇筑（基础高0.3m，宽0.3m）</v>
      </c>
      <c r="C76" s="158" t="str">
        <f>工程量核对表!C57</f>
        <v>m3</v>
      </c>
      <c r="D76" s="217">
        <v>7.56</v>
      </c>
      <c r="E76" s="217">
        <v>626.37</v>
      </c>
      <c r="F76" s="217"/>
      <c r="G76" s="217">
        <v>4735.36</v>
      </c>
      <c r="H76" s="217"/>
      <c r="I76" s="217">
        <v>3.17</v>
      </c>
      <c r="J76" s="217">
        <v>626.37</v>
      </c>
      <c r="K76" s="237"/>
      <c r="L76" s="217">
        <v>1985.59</v>
      </c>
      <c r="M76" s="217"/>
      <c r="N76" s="238">
        <f ca="1">工程量核对表!F57</f>
        <v>3.4884</v>
      </c>
      <c r="O76" s="239">
        <f t="shared" si="20"/>
        <v>626.37</v>
      </c>
      <c r="P76" s="239"/>
      <c r="Q76" s="224">
        <f ca="1" t="shared" si="21"/>
        <v>2185.029108</v>
      </c>
      <c r="R76" s="253"/>
      <c r="S76" s="239">
        <f ca="1" t="shared" si="22"/>
        <v>-2550.330892</v>
      </c>
      <c r="T76" s="238">
        <f ca="1" t="shared" si="23"/>
        <v>199.439108</v>
      </c>
      <c r="U76" s="179"/>
    </row>
    <row r="77" s="122" customFormat="1" ht="17" customHeight="1" spans="1:21">
      <c r="A77" s="215">
        <f>工程量核对表!A58</f>
        <v>6</v>
      </c>
      <c r="B77" s="216" t="str">
        <f>工程量核对表!B58</f>
        <v>钢筋制安</v>
      </c>
      <c r="C77" s="158" t="str">
        <f>工程量核对表!C58</f>
        <v>t</v>
      </c>
      <c r="D77" s="217">
        <v>0.7392</v>
      </c>
      <c r="E77" s="217">
        <v>6333.7</v>
      </c>
      <c r="F77" s="217"/>
      <c r="G77" s="217">
        <v>4681.87</v>
      </c>
      <c r="H77" s="217"/>
      <c r="I77" s="217">
        <v>0.31</v>
      </c>
      <c r="J77" s="217">
        <v>6333.7</v>
      </c>
      <c r="K77" s="237"/>
      <c r="L77" s="217">
        <v>1963.45</v>
      </c>
      <c r="M77" s="217"/>
      <c r="N77" s="244">
        <f ca="1">工程量核对表!F58</f>
        <v>0.1835328</v>
      </c>
      <c r="O77" s="239">
        <f t="shared" si="20"/>
        <v>6333.7</v>
      </c>
      <c r="P77" s="239"/>
      <c r="Q77" s="224">
        <f ca="1" t="shared" si="21"/>
        <v>1162.44169536</v>
      </c>
      <c r="R77" s="253"/>
      <c r="S77" s="239">
        <f ca="1" t="shared" si="22"/>
        <v>-3519.42830464</v>
      </c>
      <c r="T77" s="238">
        <f ca="1" t="shared" si="23"/>
        <v>-801.00830464</v>
      </c>
      <c r="U77" s="179"/>
    </row>
    <row r="78" s="122" customFormat="1" ht="17" customHeight="1" spans="1:21">
      <c r="A78" s="215">
        <f>工程量核对表!A59</f>
        <v>7</v>
      </c>
      <c r="B78" s="216" t="str">
        <f>工程量核对表!B59</f>
        <v>围墙双面贴瓷砖</v>
      </c>
      <c r="C78" s="158" t="str">
        <f>工程量核对表!C59</f>
        <v>m2</v>
      </c>
      <c r="D78" s="217">
        <v>252</v>
      </c>
      <c r="E78" s="217">
        <v>95.34</v>
      </c>
      <c r="F78" s="217"/>
      <c r="G78" s="217">
        <v>24025.68</v>
      </c>
      <c r="H78" s="217"/>
      <c r="I78" s="257">
        <v>164.48</v>
      </c>
      <c r="J78" s="217">
        <v>95.34</v>
      </c>
      <c r="K78" s="237"/>
      <c r="L78" s="217">
        <v>15681.52</v>
      </c>
      <c r="M78" s="217"/>
      <c r="N78" s="238">
        <f ca="1">工程量核对表!F59</f>
        <v>150.7968</v>
      </c>
      <c r="O78" s="239">
        <f t="shared" si="20"/>
        <v>95.34</v>
      </c>
      <c r="P78" s="239"/>
      <c r="Q78" s="224">
        <f ca="1" t="shared" si="21"/>
        <v>14376.966912</v>
      </c>
      <c r="R78" s="253"/>
      <c r="S78" s="239">
        <f ca="1" t="shared" si="22"/>
        <v>-9648.713088</v>
      </c>
      <c r="T78" s="238">
        <f ca="1" t="shared" si="23"/>
        <v>-1304.553088</v>
      </c>
      <c r="U78" s="179"/>
    </row>
    <row r="79" s="122" customFormat="1" ht="17" customHeight="1" spans="1:21">
      <c r="A79" s="215">
        <f>工程量核对表!A60</f>
        <v>8</v>
      </c>
      <c r="B79" s="216" t="str">
        <f>工程量核对表!B60</f>
        <v>M10砂浆抹面</v>
      </c>
      <c r="C79" s="158" t="str">
        <f>工程量核对表!C60</f>
        <v>m2</v>
      </c>
      <c r="D79" s="217">
        <v>252</v>
      </c>
      <c r="E79" s="217">
        <v>20.51</v>
      </c>
      <c r="F79" s="217"/>
      <c r="G79" s="217">
        <v>5168.52</v>
      </c>
      <c r="H79" s="217"/>
      <c r="I79" s="217">
        <v>164.48</v>
      </c>
      <c r="J79" s="217">
        <v>20.51</v>
      </c>
      <c r="K79" s="237"/>
      <c r="L79" s="217">
        <v>3373.48</v>
      </c>
      <c r="M79" s="217"/>
      <c r="N79" s="238">
        <f ca="1">工程量核对表!F60</f>
        <v>150.7968</v>
      </c>
      <c r="O79" s="239">
        <f t="shared" si="20"/>
        <v>20.51</v>
      </c>
      <c r="P79" s="239"/>
      <c r="Q79" s="224">
        <f ca="1" t="shared" si="21"/>
        <v>3092.842368</v>
      </c>
      <c r="R79" s="253"/>
      <c r="S79" s="239">
        <f ca="1" t="shared" si="22"/>
        <v>-2075.677632</v>
      </c>
      <c r="T79" s="238">
        <f ca="1" t="shared" si="23"/>
        <v>-280.637632</v>
      </c>
      <c r="U79" s="179"/>
    </row>
    <row r="80" s="122" customFormat="1" ht="17" customHeight="1" spans="1:21">
      <c r="A80" s="215">
        <f>工程量核对表!A61</f>
        <v>9</v>
      </c>
      <c r="B80" s="216" t="str">
        <f>工程量核对表!B61</f>
        <v>人力二次转运材料（500元/t/km,运距0.2km）</v>
      </c>
      <c r="C80" s="158" t="str">
        <f>工程量核对表!C61</f>
        <v>t</v>
      </c>
      <c r="D80" s="217">
        <v>85.68</v>
      </c>
      <c r="E80" s="217">
        <v>100</v>
      </c>
      <c r="F80" s="217"/>
      <c r="G80" s="217">
        <v>8568</v>
      </c>
      <c r="H80" s="217"/>
      <c r="I80" s="217">
        <v>61</v>
      </c>
      <c r="J80" s="217">
        <v>100</v>
      </c>
      <c r="K80" s="237"/>
      <c r="L80" s="217">
        <v>6100</v>
      </c>
      <c r="M80" s="217"/>
      <c r="N80" s="238"/>
      <c r="O80" s="239"/>
      <c r="P80" s="239"/>
      <c r="Q80" s="224">
        <f ca="1">SUM(Q81:Q85)</f>
        <v>1847.63247468954</v>
      </c>
      <c r="R80" s="253"/>
      <c r="S80" s="239">
        <f ca="1" t="shared" si="22"/>
        <v>-6720.36752531046</v>
      </c>
      <c r="T80" s="238">
        <f ca="1" t="shared" si="23"/>
        <v>-4252.36752531046</v>
      </c>
      <c r="U80" s="179" t="s">
        <v>68</v>
      </c>
    </row>
    <row r="81" s="122" customFormat="1" ht="17" customHeight="1" spans="1:21">
      <c r="A81" s="215"/>
      <c r="B81" s="216" t="s">
        <v>59</v>
      </c>
      <c r="C81" s="158" t="s">
        <v>60</v>
      </c>
      <c r="D81" s="217"/>
      <c r="E81" s="217"/>
      <c r="F81" s="217"/>
      <c r="G81" s="217"/>
      <c r="H81" s="217"/>
      <c r="I81" s="217"/>
      <c r="J81" s="217"/>
      <c r="K81" s="237"/>
      <c r="L81" s="217"/>
      <c r="M81" s="217"/>
      <c r="N81" s="238">
        <f ca="1">二转材料统计!K28</f>
        <v>4.352788928664</v>
      </c>
      <c r="O81" s="239">
        <v>35.342</v>
      </c>
      <c r="P81" s="239"/>
      <c r="Q81" s="224">
        <f ca="1" t="shared" si="21"/>
        <v>153.836266316843</v>
      </c>
      <c r="R81" s="253"/>
      <c r="S81" s="239"/>
      <c r="T81" s="238"/>
      <c r="U81" s="179"/>
    </row>
    <row r="82" s="122" customFormat="1" ht="17" customHeight="1" spans="1:21">
      <c r="A82" s="215"/>
      <c r="B82" s="216" t="s">
        <v>61</v>
      </c>
      <c r="C82" s="158" t="s">
        <v>62</v>
      </c>
      <c r="D82" s="217"/>
      <c r="E82" s="217"/>
      <c r="F82" s="217"/>
      <c r="G82" s="217"/>
      <c r="H82" s="217"/>
      <c r="I82" s="217"/>
      <c r="J82" s="217"/>
      <c r="K82" s="237"/>
      <c r="L82" s="217"/>
      <c r="M82" s="217"/>
      <c r="N82" s="238">
        <f ca="1">二转材料统计!L28</f>
        <v>10.37411644</v>
      </c>
      <c r="O82" s="239">
        <v>55.04</v>
      </c>
      <c r="P82" s="239"/>
      <c r="Q82" s="224">
        <f ca="1" t="shared" si="21"/>
        <v>570.9913688576</v>
      </c>
      <c r="R82" s="253"/>
      <c r="S82" s="239"/>
      <c r="T82" s="238"/>
      <c r="U82" s="179"/>
    </row>
    <row r="83" s="122" customFormat="1" ht="17" customHeight="1" spans="1:21">
      <c r="A83" s="215"/>
      <c r="B83" s="216" t="s">
        <v>63</v>
      </c>
      <c r="C83" s="158" t="s">
        <v>62</v>
      </c>
      <c r="D83" s="217"/>
      <c r="E83" s="217"/>
      <c r="F83" s="217"/>
      <c r="G83" s="217"/>
      <c r="H83" s="217"/>
      <c r="I83" s="217"/>
      <c r="J83" s="217"/>
      <c r="K83" s="237"/>
      <c r="L83" s="217"/>
      <c r="M83" s="217"/>
      <c r="N83" s="238">
        <f ca="1">二转材料统计!M28</f>
        <v>3.02304744</v>
      </c>
      <c r="O83" s="239">
        <v>63.506</v>
      </c>
      <c r="P83" s="239"/>
      <c r="Q83" s="224">
        <f ca="1" t="shared" si="21"/>
        <v>191.98165072464</v>
      </c>
      <c r="R83" s="253"/>
      <c r="S83" s="239"/>
      <c r="T83" s="238"/>
      <c r="U83" s="179"/>
    </row>
    <row r="84" s="122" customFormat="1" ht="17" customHeight="1" spans="1:21">
      <c r="A84" s="215"/>
      <c r="B84" s="216" t="s">
        <v>64</v>
      </c>
      <c r="C84" s="158" t="s">
        <v>65</v>
      </c>
      <c r="D84" s="217"/>
      <c r="E84" s="217"/>
      <c r="F84" s="217"/>
      <c r="G84" s="217"/>
      <c r="H84" s="217"/>
      <c r="I84" s="217"/>
      <c r="J84" s="217"/>
      <c r="K84" s="237"/>
      <c r="L84" s="217"/>
      <c r="M84" s="217"/>
      <c r="N84" s="238">
        <f ca="1">二转材料统计!N28</f>
        <v>9.058203552</v>
      </c>
      <c r="O84" s="239">
        <f>O82*1.854</f>
        <v>102.04416</v>
      </c>
      <c r="P84" s="239"/>
      <c r="Q84" s="224">
        <f ca="1" t="shared" si="21"/>
        <v>924.336772572857</v>
      </c>
      <c r="R84" s="253"/>
      <c r="S84" s="239"/>
      <c r="T84" s="238"/>
      <c r="U84" s="179"/>
    </row>
    <row r="85" s="122" customFormat="1" ht="17" customHeight="1" spans="1:21">
      <c r="A85" s="215"/>
      <c r="B85" s="216" t="s">
        <v>66</v>
      </c>
      <c r="C85" s="158" t="s">
        <v>60</v>
      </c>
      <c r="D85" s="217"/>
      <c r="E85" s="217"/>
      <c r="F85" s="217"/>
      <c r="G85" s="217"/>
      <c r="H85" s="217"/>
      <c r="I85" s="217"/>
      <c r="J85" s="217"/>
      <c r="K85" s="237"/>
      <c r="L85" s="217"/>
      <c r="M85" s="217"/>
      <c r="N85" s="244">
        <f ca="1">N77</f>
        <v>0.1835328</v>
      </c>
      <c r="O85" s="239">
        <f>O81</f>
        <v>35.342</v>
      </c>
      <c r="P85" s="239"/>
      <c r="Q85" s="224">
        <f ca="1" t="shared" si="21"/>
        <v>6.4864162176</v>
      </c>
      <c r="R85" s="253"/>
      <c r="S85" s="239"/>
      <c r="T85" s="238"/>
      <c r="U85" s="179"/>
    </row>
    <row r="86" s="122" customFormat="1" ht="17" customHeight="1" spans="1:21">
      <c r="A86" s="218" t="str">
        <f>工程量核对表!A62</f>
        <v>（八）</v>
      </c>
      <c r="B86" s="219" t="str">
        <f>工程量核对表!B62</f>
        <v>不锈钢大门</v>
      </c>
      <c r="C86" s="165" t="str">
        <f>工程量核对表!C62</f>
        <v>套</v>
      </c>
      <c r="D86" s="220">
        <v>2</v>
      </c>
      <c r="E86" s="220">
        <v>1000</v>
      </c>
      <c r="F86" s="220"/>
      <c r="G86" s="220">
        <v>2000</v>
      </c>
      <c r="H86" s="220"/>
      <c r="I86" s="220">
        <v>1</v>
      </c>
      <c r="J86" s="220">
        <v>1000</v>
      </c>
      <c r="K86" s="240"/>
      <c r="L86" s="220">
        <v>1000</v>
      </c>
      <c r="M86" s="220"/>
      <c r="N86" s="241">
        <f ca="1">工程量核对表!F62</f>
        <v>1</v>
      </c>
      <c r="O86" s="242">
        <f>E86</f>
        <v>1000</v>
      </c>
      <c r="P86" s="242"/>
      <c r="Q86" s="254">
        <f ca="1" t="shared" si="21"/>
        <v>1000</v>
      </c>
      <c r="R86" s="255"/>
      <c r="S86" s="242">
        <f ca="1">Q86-G86</f>
        <v>-1000</v>
      </c>
      <c r="T86" s="241">
        <f ca="1">Q86-L86</f>
        <v>0</v>
      </c>
      <c r="U86" s="181"/>
    </row>
    <row r="87" s="122" customFormat="1" ht="17" customHeight="1" spans="1:21">
      <c r="A87" s="218" t="str">
        <f>工程量核对表!A63</f>
        <v>（九）</v>
      </c>
      <c r="B87" s="219" t="str">
        <f>工程量核对表!B63</f>
        <v>厂牌 安全饮水标志牌 简介牌</v>
      </c>
      <c r="C87" s="165" t="str">
        <f>工程量核对表!C63</f>
        <v>套</v>
      </c>
      <c r="D87" s="220">
        <v>2</v>
      </c>
      <c r="E87" s="220">
        <v>500</v>
      </c>
      <c r="F87" s="220"/>
      <c r="G87" s="220">
        <v>1000</v>
      </c>
      <c r="H87" s="220"/>
      <c r="I87" s="220">
        <v>1</v>
      </c>
      <c r="J87" s="220">
        <v>500</v>
      </c>
      <c r="K87" s="240"/>
      <c r="L87" s="220">
        <v>500</v>
      </c>
      <c r="M87" s="220"/>
      <c r="N87" s="241">
        <f ca="1">工程量核对表!F63</f>
        <v>0</v>
      </c>
      <c r="O87" s="242">
        <f>E87</f>
        <v>500</v>
      </c>
      <c r="P87" s="242"/>
      <c r="Q87" s="254">
        <f ca="1" t="shared" si="21"/>
        <v>0</v>
      </c>
      <c r="R87" s="255"/>
      <c r="S87" s="242">
        <f ca="1">Q87-G87</f>
        <v>-1000</v>
      </c>
      <c r="T87" s="241">
        <f ca="1">Q87-L87</f>
        <v>-500</v>
      </c>
      <c r="U87" s="181"/>
    </row>
    <row r="88" s="122" customFormat="1" ht="17" customHeight="1" spans="1:21">
      <c r="A88" s="211" t="str">
        <f>工程量核对表!A64</f>
        <v>三</v>
      </c>
      <c r="B88" s="212" t="str">
        <f>工程量核对表!B64</f>
        <v>新增两个三米内径水池及附属工程</v>
      </c>
      <c r="C88" s="213"/>
      <c r="D88" s="214">
        <v>2</v>
      </c>
      <c r="E88" s="214">
        <v>26453.28</v>
      </c>
      <c r="F88" s="214"/>
      <c r="G88" s="214">
        <v>52906.55</v>
      </c>
      <c r="H88" s="214"/>
      <c r="I88" s="214"/>
      <c r="J88" s="233"/>
      <c r="K88" s="233"/>
      <c r="L88" s="214">
        <v>22559.12</v>
      </c>
      <c r="M88" s="214"/>
      <c r="N88" s="234"/>
      <c r="O88" s="235"/>
      <c r="P88" s="236"/>
      <c r="Q88" s="236">
        <f ca="1" t="shared" ref="Q88:T88" si="24">Q89+Q103+Q123+Q124+Q128+Q138+Q139</f>
        <v>20385.698913124</v>
      </c>
      <c r="R88" s="251"/>
      <c r="S88" s="214">
        <f ca="1" t="shared" si="24"/>
        <v>-32520.851086876</v>
      </c>
      <c r="T88" s="214">
        <f ca="1" t="shared" si="24"/>
        <v>-2173.44108687604</v>
      </c>
      <c r="U88" s="252"/>
    </row>
    <row r="89" s="122" customFormat="1" ht="17" customHeight="1" spans="1:21">
      <c r="A89" s="218" t="str">
        <f>工程量核对表!A65</f>
        <v>（一）</v>
      </c>
      <c r="B89" s="219" t="str">
        <f>工程量核对表!B65</f>
        <v>闸阀井</v>
      </c>
      <c r="C89" s="165" t="str">
        <f>工程量核对表!C65</f>
        <v>座</v>
      </c>
      <c r="D89" s="220">
        <v>1</v>
      </c>
      <c r="E89" s="220">
        <v>1284</v>
      </c>
      <c r="F89" s="220"/>
      <c r="G89" s="220">
        <v>1284</v>
      </c>
      <c r="H89" s="220"/>
      <c r="I89" s="220"/>
      <c r="J89" s="240"/>
      <c r="K89" s="240"/>
      <c r="L89" s="220">
        <v>1549.02</v>
      </c>
      <c r="M89" s="220"/>
      <c r="N89" s="241"/>
      <c r="O89" s="242"/>
      <c r="P89" s="242"/>
      <c r="Q89" s="254">
        <f ca="1" t="shared" ref="Q89:T89" si="25">SUM(Q90:Q97)</f>
        <v>527.50325288573</v>
      </c>
      <c r="R89" s="255"/>
      <c r="S89" s="220">
        <f ca="1" t="shared" si="25"/>
        <v>-756.49674711427</v>
      </c>
      <c r="T89" s="220">
        <f ca="1" t="shared" si="25"/>
        <v>-1021.52674711427</v>
      </c>
      <c r="U89" s="181"/>
    </row>
    <row r="90" s="122" customFormat="1" ht="17" customHeight="1" spans="1:21">
      <c r="A90" s="215">
        <f>工程量核对表!A66</f>
        <v>1</v>
      </c>
      <c r="B90" s="216" t="str">
        <f>工程量核对表!B66</f>
        <v>土方开挖</v>
      </c>
      <c r="C90" s="158" t="str">
        <f>工程量核对表!C66</f>
        <v>m3</v>
      </c>
      <c r="D90" s="217">
        <v>1.53</v>
      </c>
      <c r="E90" s="217">
        <v>19.7</v>
      </c>
      <c r="F90" s="217"/>
      <c r="G90" s="217">
        <v>30.14</v>
      </c>
      <c r="H90" s="217"/>
      <c r="I90" s="217">
        <v>0.6</v>
      </c>
      <c r="J90" s="217">
        <v>19.7</v>
      </c>
      <c r="K90" s="237"/>
      <c r="L90" s="217">
        <v>11.82</v>
      </c>
      <c r="M90" s="217"/>
      <c r="N90" s="238">
        <f ca="1">工程量核对表!F66</f>
        <v>0.6</v>
      </c>
      <c r="O90" s="239">
        <f>E90</f>
        <v>19.7</v>
      </c>
      <c r="P90" s="239"/>
      <c r="Q90" s="224">
        <f ca="1">N90*O90</f>
        <v>11.82</v>
      </c>
      <c r="R90" s="253"/>
      <c r="S90" s="239">
        <f ca="1">Q90-G90</f>
        <v>-18.32</v>
      </c>
      <c r="T90" s="238">
        <f ca="1">Q90-L90</f>
        <v>0</v>
      </c>
      <c r="U90" s="179"/>
    </row>
    <row r="91" s="122" customFormat="1" ht="17" customHeight="1" spans="1:21">
      <c r="A91" s="215">
        <f>工程量核对表!A67</f>
        <v>2</v>
      </c>
      <c r="B91" s="216" t="str">
        <f>工程量核对表!B67</f>
        <v>石方开挖</v>
      </c>
      <c r="C91" s="158" t="str">
        <f>工程量核对表!C67</f>
        <v>m3</v>
      </c>
      <c r="D91" s="217">
        <v>1.06</v>
      </c>
      <c r="E91" s="217">
        <v>57.48</v>
      </c>
      <c r="F91" s="217"/>
      <c r="G91" s="217">
        <v>60.93</v>
      </c>
      <c r="H91" s="217"/>
      <c r="I91" s="217">
        <v>1</v>
      </c>
      <c r="J91" s="217">
        <v>57.48</v>
      </c>
      <c r="K91" s="237"/>
      <c r="L91" s="217">
        <v>57.48</v>
      </c>
      <c r="M91" s="217"/>
      <c r="N91" s="238">
        <f ca="1">工程量核对表!F67</f>
        <v>1</v>
      </c>
      <c r="O91" s="239">
        <f t="shared" ref="O90:O97" si="26">E91</f>
        <v>57.48</v>
      </c>
      <c r="P91" s="239"/>
      <c r="Q91" s="224">
        <f ca="1" t="shared" ref="Q91:Q102" si="27">N91*O91</f>
        <v>57.48</v>
      </c>
      <c r="R91" s="253"/>
      <c r="S91" s="239">
        <f ca="1" t="shared" ref="S91:S97" si="28">Q91-G91</f>
        <v>-3.45</v>
      </c>
      <c r="T91" s="238">
        <f ca="1" t="shared" ref="T91:T97" si="29">Q91-L91</f>
        <v>0</v>
      </c>
      <c r="U91" s="179"/>
    </row>
    <row r="92" s="122" customFormat="1" ht="17" customHeight="1" spans="1:21">
      <c r="A92" s="215">
        <f>工程量核对表!A68</f>
        <v>3</v>
      </c>
      <c r="B92" s="216" t="str">
        <f>工程量核对表!B68</f>
        <v>土方回填</v>
      </c>
      <c r="C92" s="158" t="str">
        <f>工程量核对表!C68</f>
        <v>m3</v>
      </c>
      <c r="D92" s="217">
        <v>0.42</v>
      </c>
      <c r="E92" s="217">
        <v>27.94</v>
      </c>
      <c r="F92" s="217"/>
      <c r="G92" s="217">
        <v>11.73</v>
      </c>
      <c r="H92" s="217"/>
      <c r="I92" s="217"/>
      <c r="J92" s="217">
        <v>27.94</v>
      </c>
      <c r="K92" s="237"/>
      <c r="L92" s="217"/>
      <c r="M92" s="217"/>
      <c r="N92" s="238">
        <f ca="1">工程量核对表!F68</f>
        <v>0</v>
      </c>
      <c r="O92" s="239">
        <f t="shared" si="26"/>
        <v>27.94</v>
      </c>
      <c r="P92" s="239"/>
      <c r="Q92" s="224">
        <f ca="1" t="shared" si="27"/>
        <v>0</v>
      </c>
      <c r="R92" s="253"/>
      <c r="S92" s="239">
        <f ca="1" t="shared" si="28"/>
        <v>-11.73</v>
      </c>
      <c r="T92" s="238">
        <f ca="1" t="shared" si="29"/>
        <v>0</v>
      </c>
      <c r="U92" s="179"/>
    </row>
    <row r="93" s="122" customFormat="1" ht="17" customHeight="1" spans="1:21">
      <c r="A93" s="215">
        <f>工程量核对表!A69</f>
        <v>4</v>
      </c>
      <c r="B93" s="216" t="str">
        <f>工程量核对表!B69</f>
        <v>M7.5浆砌页岩砖</v>
      </c>
      <c r="C93" s="158" t="str">
        <f>工程量核对表!C69</f>
        <v>m3</v>
      </c>
      <c r="D93" s="217">
        <v>0.95</v>
      </c>
      <c r="E93" s="217">
        <v>637.15</v>
      </c>
      <c r="F93" s="217"/>
      <c r="G93" s="217">
        <v>605.29</v>
      </c>
      <c r="H93" s="217"/>
      <c r="I93" s="217">
        <v>0.3</v>
      </c>
      <c r="J93" s="217">
        <v>637.15</v>
      </c>
      <c r="K93" s="237"/>
      <c r="L93" s="217">
        <v>191.15</v>
      </c>
      <c r="M93" s="217"/>
      <c r="N93" s="238">
        <f ca="1">工程量核对表!F69</f>
        <v>0.29624</v>
      </c>
      <c r="O93" s="239">
        <f t="shared" si="26"/>
        <v>637.15</v>
      </c>
      <c r="P93" s="239"/>
      <c r="Q93" s="224">
        <f ca="1" t="shared" si="27"/>
        <v>188.749316</v>
      </c>
      <c r="R93" s="253"/>
      <c r="S93" s="239">
        <f ca="1" t="shared" si="28"/>
        <v>-416.540684</v>
      </c>
      <c r="T93" s="238">
        <f ca="1" t="shared" si="29"/>
        <v>-2.40068400000004</v>
      </c>
      <c r="U93" s="179"/>
    </row>
    <row r="94" s="122" customFormat="1" ht="17" customHeight="1" spans="1:21">
      <c r="A94" s="215">
        <f>工程量核对表!A70</f>
        <v>5</v>
      </c>
      <c r="B94" s="216" t="str">
        <f>工程量核对表!B70</f>
        <v>预制盖板C20砼</v>
      </c>
      <c r="C94" s="158" t="str">
        <f>工程量核对表!C70</f>
        <v>m3</v>
      </c>
      <c r="D94" s="217">
        <v>0.16</v>
      </c>
      <c r="E94" s="217">
        <v>607.42</v>
      </c>
      <c r="F94" s="217"/>
      <c r="G94" s="217">
        <v>97.19</v>
      </c>
      <c r="H94" s="217"/>
      <c r="I94" s="217">
        <v>0.036</v>
      </c>
      <c r="J94" s="217">
        <v>607.42</v>
      </c>
      <c r="K94" s="237"/>
      <c r="L94" s="217">
        <v>21.87</v>
      </c>
      <c r="M94" s="217"/>
      <c r="N94" s="238">
        <f ca="1">工程量核对表!F70</f>
        <v>0.051875</v>
      </c>
      <c r="O94" s="239">
        <f t="shared" si="26"/>
        <v>607.42</v>
      </c>
      <c r="P94" s="239"/>
      <c r="Q94" s="224">
        <f ca="1" t="shared" si="27"/>
        <v>31.5099125</v>
      </c>
      <c r="R94" s="253"/>
      <c r="S94" s="239">
        <f ca="1" t="shared" si="28"/>
        <v>-65.6800875</v>
      </c>
      <c r="T94" s="238">
        <f ca="1" t="shared" si="29"/>
        <v>9.63991249999999</v>
      </c>
      <c r="U94" s="179"/>
    </row>
    <row r="95" s="122" customFormat="1" ht="17" customHeight="1" spans="1:21">
      <c r="A95" s="215">
        <f>工程量核对表!A71</f>
        <v>6</v>
      </c>
      <c r="B95" s="216" t="str">
        <f>工程量核对表!B71</f>
        <v>盖板钢筋制安</v>
      </c>
      <c r="C95" s="158" t="str">
        <f>工程量核对表!C71</f>
        <v>t</v>
      </c>
      <c r="D95" s="217">
        <v>0.0027</v>
      </c>
      <c r="E95" s="217">
        <v>6333.7</v>
      </c>
      <c r="F95" s="217"/>
      <c r="G95" s="217">
        <v>17.1</v>
      </c>
      <c r="H95" s="217"/>
      <c r="I95" s="217">
        <v>0.01</v>
      </c>
      <c r="J95" s="217">
        <v>6333.7</v>
      </c>
      <c r="K95" s="237"/>
      <c r="L95" s="217">
        <v>63.34</v>
      </c>
      <c r="M95" s="217"/>
      <c r="N95" s="238">
        <f ca="1">工程量核对表!F71</f>
        <v>0.01</v>
      </c>
      <c r="O95" s="239">
        <f t="shared" si="26"/>
        <v>6333.7</v>
      </c>
      <c r="P95" s="239"/>
      <c r="Q95" s="224">
        <f ca="1" t="shared" si="27"/>
        <v>63.337</v>
      </c>
      <c r="R95" s="253"/>
      <c r="S95" s="239">
        <f ca="1" t="shared" si="28"/>
        <v>46.237</v>
      </c>
      <c r="T95" s="238">
        <f ca="1" t="shared" si="29"/>
        <v>-0.00300000000000722</v>
      </c>
      <c r="U95" s="179"/>
    </row>
    <row r="96" s="122" customFormat="1" ht="17" customHeight="1" spans="1:21">
      <c r="A96" s="215">
        <f>工程量核对表!A72</f>
        <v>7</v>
      </c>
      <c r="B96" s="216" t="str">
        <f>工程量核对表!B72</f>
        <v>M10砂浆抹面</v>
      </c>
      <c r="C96" s="158" t="str">
        <f>工程量核对表!C72</f>
        <v>m2</v>
      </c>
      <c r="D96" s="217">
        <v>7.88</v>
      </c>
      <c r="E96" s="217">
        <v>20.51</v>
      </c>
      <c r="F96" s="217"/>
      <c r="G96" s="217">
        <v>161.62</v>
      </c>
      <c r="H96" s="217"/>
      <c r="I96" s="217">
        <v>5.04</v>
      </c>
      <c r="J96" s="217">
        <v>20.51</v>
      </c>
      <c r="K96" s="237"/>
      <c r="L96" s="217">
        <v>103.37</v>
      </c>
      <c r="M96" s="217"/>
      <c r="N96" s="238">
        <f ca="1">工程量核对表!F72</f>
        <v>5.152</v>
      </c>
      <c r="O96" s="239">
        <f t="shared" si="26"/>
        <v>20.51</v>
      </c>
      <c r="P96" s="239"/>
      <c r="Q96" s="224">
        <f ca="1" t="shared" si="27"/>
        <v>105.66752</v>
      </c>
      <c r="R96" s="253"/>
      <c r="S96" s="239">
        <f ca="1" t="shared" si="28"/>
        <v>-55.95248</v>
      </c>
      <c r="T96" s="238">
        <f ca="1" t="shared" si="29"/>
        <v>2.29751999999999</v>
      </c>
      <c r="U96" s="179"/>
    </row>
    <row r="97" s="122" customFormat="1" ht="22.5" spans="1:21">
      <c r="A97" s="215">
        <f>工程量核对表!A73</f>
        <v>8</v>
      </c>
      <c r="B97" s="216" t="str">
        <f>工程量核对表!B73</f>
        <v>人力二次转运材料（500元/t/km,运距0.2km）</v>
      </c>
      <c r="C97" s="158" t="str">
        <f>工程量核对表!C73</f>
        <v>t</v>
      </c>
      <c r="D97" s="217">
        <v>3</v>
      </c>
      <c r="E97" s="217">
        <v>100</v>
      </c>
      <c r="F97" s="217"/>
      <c r="G97" s="217">
        <v>300</v>
      </c>
      <c r="H97" s="217"/>
      <c r="I97" s="217">
        <v>2</v>
      </c>
      <c r="J97" s="217">
        <v>550</v>
      </c>
      <c r="K97" s="237"/>
      <c r="L97" s="217">
        <v>1100</v>
      </c>
      <c r="M97" s="217"/>
      <c r="N97" s="238"/>
      <c r="O97" s="239"/>
      <c r="P97" s="239"/>
      <c r="Q97" s="224">
        <f ca="1">SUM(Q98:Q102)</f>
        <v>68.9395043857304</v>
      </c>
      <c r="R97" s="253"/>
      <c r="S97" s="239">
        <f ca="1" t="shared" si="28"/>
        <v>-231.06049561427</v>
      </c>
      <c r="T97" s="238">
        <f ca="1" t="shared" si="29"/>
        <v>-1031.06049561427</v>
      </c>
      <c r="U97" s="179" t="s">
        <v>69</v>
      </c>
    </row>
    <row r="98" s="122" customFormat="1" ht="17" customHeight="1" spans="1:21">
      <c r="A98" s="215"/>
      <c r="B98" s="216" t="s">
        <v>59</v>
      </c>
      <c r="C98" s="158" t="s">
        <v>60</v>
      </c>
      <c r="D98" s="217"/>
      <c r="E98" s="217"/>
      <c r="F98" s="217"/>
      <c r="G98" s="217"/>
      <c r="H98" s="217"/>
      <c r="I98" s="217"/>
      <c r="J98" s="217"/>
      <c r="K98" s="237"/>
      <c r="L98" s="217"/>
      <c r="M98" s="217"/>
      <c r="N98" s="238">
        <f ca="1">二转材料统计!Q28</f>
        <v>0.07749440042</v>
      </c>
      <c r="O98" s="239">
        <v>85.84</v>
      </c>
      <c r="P98" s="239"/>
      <c r="Q98" s="224">
        <f ca="1" t="shared" si="27"/>
        <v>6.6521193320528</v>
      </c>
      <c r="R98" s="253"/>
      <c r="S98" s="239"/>
      <c r="T98" s="238"/>
      <c r="U98" s="179"/>
    </row>
    <row r="99" s="122" customFormat="1" ht="17" customHeight="1" spans="1:21">
      <c r="A99" s="215"/>
      <c r="B99" s="216" t="s">
        <v>61</v>
      </c>
      <c r="C99" s="158" t="s">
        <v>62</v>
      </c>
      <c r="D99" s="217"/>
      <c r="E99" s="217"/>
      <c r="F99" s="217"/>
      <c r="G99" s="217"/>
      <c r="H99" s="217"/>
      <c r="I99" s="217"/>
      <c r="J99" s="217"/>
      <c r="K99" s="237"/>
      <c r="L99" s="217"/>
      <c r="M99" s="217"/>
      <c r="N99" s="238">
        <f ca="1">二转材料统计!R28</f>
        <v>0.20532</v>
      </c>
      <c r="O99" s="239">
        <v>111.59</v>
      </c>
      <c r="P99" s="239"/>
      <c r="Q99" s="224">
        <f ca="1" t="shared" si="27"/>
        <v>22.9116588</v>
      </c>
      <c r="R99" s="253"/>
      <c r="S99" s="239"/>
      <c r="T99" s="238"/>
      <c r="U99" s="179"/>
    </row>
    <row r="100" s="122" customFormat="1" ht="17" customHeight="1" spans="1:21">
      <c r="A100" s="215"/>
      <c r="B100" s="216" t="s">
        <v>63</v>
      </c>
      <c r="C100" s="158" t="s">
        <v>62</v>
      </c>
      <c r="D100" s="217"/>
      <c r="E100" s="217"/>
      <c r="F100" s="217"/>
      <c r="G100" s="217"/>
      <c r="H100" s="217"/>
      <c r="I100" s="217"/>
      <c r="J100" s="217"/>
      <c r="K100" s="237"/>
      <c r="L100" s="217"/>
      <c r="M100" s="217"/>
      <c r="N100" s="238">
        <f ca="1">二转材料统计!S28</f>
        <v>0.044954875</v>
      </c>
      <c r="O100" s="239">
        <v>128.78</v>
      </c>
      <c r="P100" s="239"/>
      <c r="Q100" s="224">
        <f ca="1" t="shared" si="27"/>
        <v>5.7892888025</v>
      </c>
      <c r="R100" s="253"/>
      <c r="S100" s="239"/>
      <c r="T100" s="238"/>
      <c r="U100" s="179"/>
    </row>
    <row r="101" s="122" customFormat="1" ht="17" customHeight="1" spans="1:21">
      <c r="A101" s="215"/>
      <c r="B101" s="216" t="s">
        <v>64</v>
      </c>
      <c r="C101" s="158" t="s">
        <v>65</v>
      </c>
      <c r="D101" s="217"/>
      <c r="E101" s="217"/>
      <c r="F101" s="217"/>
      <c r="G101" s="217"/>
      <c r="H101" s="217"/>
      <c r="I101" s="217"/>
      <c r="J101" s="217"/>
      <c r="K101" s="237"/>
      <c r="L101" s="217"/>
      <c r="M101" s="217"/>
      <c r="N101" s="238">
        <f ca="1">二转材料统计!T28</f>
        <v>0.15819216</v>
      </c>
      <c r="O101" s="239">
        <f>O99*1.854</f>
        <v>206.88786</v>
      </c>
      <c r="P101" s="239"/>
      <c r="Q101" s="224">
        <f ca="1" t="shared" si="27"/>
        <v>32.7280374511776</v>
      </c>
      <c r="R101" s="253"/>
      <c r="S101" s="239"/>
      <c r="T101" s="238"/>
      <c r="U101" s="179"/>
    </row>
    <row r="102" s="122" customFormat="1" ht="17" customHeight="1" spans="1:21">
      <c r="A102" s="215"/>
      <c r="B102" s="216" t="s">
        <v>66</v>
      </c>
      <c r="C102" s="158" t="s">
        <v>60</v>
      </c>
      <c r="D102" s="217"/>
      <c r="E102" s="217"/>
      <c r="F102" s="217"/>
      <c r="G102" s="217"/>
      <c r="H102" s="217"/>
      <c r="I102" s="217"/>
      <c r="J102" s="217"/>
      <c r="K102" s="237"/>
      <c r="L102" s="217"/>
      <c r="M102" s="217"/>
      <c r="N102" s="244">
        <f ca="1">N95</f>
        <v>0.01</v>
      </c>
      <c r="O102" s="239">
        <f>O98</f>
        <v>85.84</v>
      </c>
      <c r="P102" s="239"/>
      <c r="Q102" s="224">
        <f ca="1" t="shared" si="27"/>
        <v>0.8584</v>
      </c>
      <c r="R102" s="253"/>
      <c r="S102" s="239"/>
      <c r="T102" s="238"/>
      <c r="U102" s="179"/>
    </row>
    <row r="103" s="122" customFormat="1" ht="17" customHeight="1" spans="1:21">
      <c r="A103" s="218" t="str">
        <f>工程量核对表!A74</f>
        <v>（二）</v>
      </c>
      <c r="B103" s="219" t="str">
        <f>工程量核对表!B74</f>
        <v>新建30方清水池</v>
      </c>
      <c r="C103" s="165" t="str">
        <f>工程量核对表!C74</f>
        <v>座</v>
      </c>
      <c r="D103" s="220">
        <v>1</v>
      </c>
      <c r="E103" s="220">
        <v>25909.8</v>
      </c>
      <c r="F103" s="220"/>
      <c r="G103" s="220">
        <v>25909.8</v>
      </c>
      <c r="H103" s="220"/>
      <c r="I103" s="220"/>
      <c r="J103" s="240"/>
      <c r="K103" s="240"/>
      <c r="L103" s="220">
        <v>21010.1</v>
      </c>
      <c r="M103" s="220"/>
      <c r="N103" s="241"/>
      <c r="O103" s="242"/>
      <c r="P103" s="242"/>
      <c r="Q103" s="254">
        <f ca="1">SUM(Q104:Q116,Q122)</f>
        <v>19858.1956602382</v>
      </c>
      <c r="R103" s="255"/>
      <c r="S103" s="220">
        <f ca="1" t="shared" ref="Q103:T103" si="30">SUM(S104:S116,S122)</f>
        <v>-6051.60433976177</v>
      </c>
      <c r="T103" s="220">
        <f ca="1" t="shared" si="30"/>
        <v>-1151.91433976177</v>
      </c>
      <c r="U103" s="181"/>
    </row>
    <row r="104" s="122" customFormat="1" ht="17" customHeight="1" spans="1:21">
      <c r="A104" s="215">
        <f>工程量核对表!A75</f>
        <v>1</v>
      </c>
      <c r="B104" s="216" t="str">
        <f>工程量核对表!B75</f>
        <v>土方开挖</v>
      </c>
      <c r="C104" s="158" t="str">
        <f>工程量核对表!C75</f>
        <v>m3</v>
      </c>
      <c r="D104" s="217">
        <v>12.44</v>
      </c>
      <c r="E104" s="217">
        <v>19.7</v>
      </c>
      <c r="F104" s="217"/>
      <c r="G104" s="217">
        <v>245.07</v>
      </c>
      <c r="H104" s="217"/>
      <c r="I104" s="217">
        <v>8.57</v>
      </c>
      <c r="J104" s="217">
        <v>19.7</v>
      </c>
      <c r="K104" s="237"/>
      <c r="L104" s="217">
        <v>168.83</v>
      </c>
      <c r="M104" s="217"/>
      <c r="N104" s="238">
        <f ca="1">工程量核对表!F75</f>
        <v>8.5722</v>
      </c>
      <c r="O104" s="239">
        <f t="shared" ref="O104:O118" si="31">E104</f>
        <v>19.7</v>
      </c>
      <c r="P104" s="239"/>
      <c r="Q104" s="224">
        <f ca="1" t="shared" ref="Q104:Q123" si="32">N104*O104</f>
        <v>168.87234</v>
      </c>
      <c r="R104" s="253"/>
      <c r="S104" s="239">
        <f ca="1" t="shared" ref="S104:S118" si="33">Q104-G104</f>
        <v>-76.19766</v>
      </c>
      <c r="T104" s="238">
        <f ca="1" t="shared" ref="T104:T118" si="34">Q104-L104</f>
        <v>0.0423399999999958</v>
      </c>
      <c r="U104" s="179"/>
    </row>
    <row r="105" s="122" customFormat="1" ht="17" customHeight="1" spans="1:21">
      <c r="A105" s="215">
        <f>工程量核对表!A76</f>
        <v>2</v>
      </c>
      <c r="B105" s="216" t="str">
        <f>工程量核对表!B76</f>
        <v>石方开挖</v>
      </c>
      <c r="C105" s="158" t="str">
        <f>工程量核对表!C76</f>
        <v>m3</v>
      </c>
      <c r="D105" s="217">
        <v>49.77</v>
      </c>
      <c r="E105" s="217">
        <v>57.48</v>
      </c>
      <c r="F105" s="217"/>
      <c r="G105" s="217">
        <v>2860.78</v>
      </c>
      <c r="H105" s="217"/>
      <c r="I105" s="217">
        <v>34.29</v>
      </c>
      <c r="J105" s="217">
        <v>57.48</v>
      </c>
      <c r="K105" s="237"/>
      <c r="L105" s="217">
        <v>1970.99</v>
      </c>
      <c r="M105" s="217"/>
      <c r="N105" s="238">
        <f ca="1">工程量核对表!F76</f>
        <v>34.2888</v>
      </c>
      <c r="O105" s="239">
        <f t="shared" si="31"/>
        <v>57.48</v>
      </c>
      <c r="P105" s="239"/>
      <c r="Q105" s="224">
        <f ca="1" t="shared" si="32"/>
        <v>1970.920224</v>
      </c>
      <c r="R105" s="253"/>
      <c r="S105" s="239">
        <f ca="1" t="shared" si="33"/>
        <v>-889.859776</v>
      </c>
      <c r="T105" s="238">
        <f ca="1" t="shared" si="34"/>
        <v>-0.0697760000000471</v>
      </c>
      <c r="U105" s="179"/>
    </row>
    <row r="106" s="122" customFormat="1" ht="17" customHeight="1" spans="1:21">
      <c r="A106" s="215">
        <f>工程量核对表!A77</f>
        <v>3</v>
      </c>
      <c r="B106" s="216" t="str">
        <f>工程量核对表!B77</f>
        <v>土方回填</v>
      </c>
      <c r="C106" s="158" t="str">
        <f>工程量核对表!C77</f>
        <v>m3</v>
      </c>
      <c r="D106" s="217">
        <v>18.66</v>
      </c>
      <c r="E106" s="217">
        <v>27.94</v>
      </c>
      <c r="F106" s="217"/>
      <c r="G106" s="217">
        <v>521.36</v>
      </c>
      <c r="H106" s="217"/>
      <c r="I106" s="217">
        <v>21.32</v>
      </c>
      <c r="J106" s="217">
        <v>27.94</v>
      </c>
      <c r="K106" s="237"/>
      <c r="L106" s="217">
        <v>595.68</v>
      </c>
      <c r="M106" s="217"/>
      <c r="N106" s="238">
        <f ca="1">工程量核对表!F77</f>
        <v>21.32374</v>
      </c>
      <c r="O106" s="239">
        <f t="shared" si="31"/>
        <v>27.94</v>
      </c>
      <c r="P106" s="239"/>
      <c r="Q106" s="224">
        <f ca="1" t="shared" si="32"/>
        <v>595.7852956</v>
      </c>
      <c r="R106" s="253"/>
      <c r="S106" s="239">
        <f ca="1" t="shared" si="33"/>
        <v>74.4252956000001</v>
      </c>
      <c r="T106" s="238">
        <f ca="1" t="shared" si="34"/>
        <v>0.105295600000204</v>
      </c>
      <c r="U106" s="179"/>
    </row>
    <row r="107" s="122" customFormat="1" ht="17" customHeight="1" spans="1:21">
      <c r="A107" s="215">
        <f>工程量核对表!A78</f>
        <v>4</v>
      </c>
      <c r="B107" s="216" t="str">
        <f>工程量核对表!B78</f>
        <v>30cm厚覆土</v>
      </c>
      <c r="C107" s="158" t="str">
        <f>工程量核对表!C78</f>
        <v>m3</v>
      </c>
      <c r="D107" s="217">
        <v>3.77</v>
      </c>
      <c r="E107" s="217">
        <v>27.94</v>
      </c>
      <c r="F107" s="217"/>
      <c r="G107" s="217">
        <v>105.33</v>
      </c>
      <c r="H107" s="217"/>
      <c r="I107" s="217"/>
      <c r="J107" s="217">
        <v>27.94</v>
      </c>
      <c r="K107" s="237"/>
      <c r="L107" s="217"/>
      <c r="M107" s="217"/>
      <c r="N107" s="238">
        <f ca="1">工程量核对表!F78</f>
        <v>1.9897552</v>
      </c>
      <c r="O107" s="239">
        <f t="shared" si="31"/>
        <v>27.94</v>
      </c>
      <c r="P107" s="239"/>
      <c r="Q107" s="224">
        <f ca="1" t="shared" si="32"/>
        <v>55.593760288</v>
      </c>
      <c r="R107" s="253"/>
      <c r="S107" s="239">
        <f ca="1" t="shared" si="33"/>
        <v>-49.736239712</v>
      </c>
      <c r="T107" s="238">
        <f ca="1" t="shared" si="34"/>
        <v>55.593760288</v>
      </c>
      <c r="U107" s="179"/>
    </row>
    <row r="108" s="122" customFormat="1" ht="17" customHeight="1" spans="1:21">
      <c r="A108" s="215">
        <f>工程量核对表!A79</f>
        <v>5</v>
      </c>
      <c r="B108" s="216" t="str">
        <f>工程量核对表!B79</f>
        <v>C25混凝土浇筑</v>
      </c>
      <c r="C108" s="158" t="str">
        <f>工程量核对表!C79</f>
        <v>m3</v>
      </c>
      <c r="D108" s="217">
        <v>5.62</v>
      </c>
      <c r="E108" s="217">
        <v>626.37</v>
      </c>
      <c r="F108" s="217"/>
      <c r="G108" s="217">
        <v>3520.2</v>
      </c>
      <c r="H108" s="217"/>
      <c r="I108" s="217">
        <v>3.97</v>
      </c>
      <c r="J108" s="217">
        <v>626.37</v>
      </c>
      <c r="K108" s="237"/>
      <c r="L108" s="217">
        <v>2486.69</v>
      </c>
      <c r="M108" s="217"/>
      <c r="N108" s="238">
        <f ca="1">工程量核对表!F79</f>
        <v>3.96739</v>
      </c>
      <c r="O108" s="239">
        <f t="shared" si="31"/>
        <v>626.37</v>
      </c>
      <c r="P108" s="239"/>
      <c r="Q108" s="224">
        <f ca="1" t="shared" si="32"/>
        <v>2485.0540743</v>
      </c>
      <c r="R108" s="253"/>
      <c r="S108" s="239">
        <f ca="1" t="shared" si="33"/>
        <v>-1035.1459257</v>
      </c>
      <c r="T108" s="238">
        <f ca="1" t="shared" si="34"/>
        <v>-1.63592570000037</v>
      </c>
      <c r="U108" s="179"/>
    </row>
    <row r="109" s="122" customFormat="1" ht="17" customHeight="1" spans="1:21">
      <c r="A109" s="215">
        <f>工程量核对表!A80</f>
        <v>6</v>
      </c>
      <c r="B109" s="216" t="str">
        <f>工程量核对表!B80</f>
        <v>模板制安</v>
      </c>
      <c r="C109" s="158" t="str">
        <f>工程量核对表!C80</f>
        <v>m2</v>
      </c>
      <c r="D109" s="217">
        <v>15.76</v>
      </c>
      <c r="E109" s="217">
        <v>58.41</v>
      </c>
      <c r="F109" s="217"/>
      <c r="G109" s="217">
        <v>920.54</v>
      </c>
      <c r="H109" s="217"/>
      <c r="I109" s="217">
        <v>11.34</v>
      </c>
      <c r="J109" s="217">
        <v>58.41</v>
      </c>
      <c r="K109" s="237"/>
      <c r="L109" s="217">
        <v>662.37</v>
      </c>
      <c r="M109" s="217"/>
      <c r="N109" s="238">
        <f ca="1">工程量核对表!F80</f>
        <v>11.3354</v>
      </c>
      <c r="O109" s="239">
        <f t="shared" si="31"/>
        <v>58.41</v>
      </c>
      <c r="P109" s="239"/>
      <c r="Q109" s="224">
        <f ca="1" t="shared" si="32"/>
        <v>662.100714</v>
      </c>
      <c r="R109" s="253"/>
      <c r="S109" s="239">
        <f ca="1" t="shared" si="33"/>
        <v>-258.439286</v>
      </c>
      <c r="T109" s="238">
        <f ca="1" t="shared" si="34"/>
        <v>-0.269286000000079</v>
      </c>
      <c r="U109" s="179"/>
    </row>
    <row r="110" s="122" customFormat="1" ht="17" customHeight="1" spans="1:21">
      <c r="A110" s="215">
        <f>工程量核对表!A81</f>
        <v>7</v>
      </c>
      <c r="B110" s="216" t="str">
        <f>工程量核对表!B81</f>
        <v>钢筋制安</v>
      </c>
      <c r="C110" s="158" t="str">
        <f>工程量核对表!C81</f>
        <v>t</v>
      </c>
      <c r="D110" s="217">
        <v>0.31</v>
      </c>
      <c r="E110" s="217">
        <v>6333.7</v>
      </c>
      <c r="F110" s="217"/>
      <c r="G110" s="217">
        <v>1963.45</v>
      </c>
      <c r="H110" s="217"/>
      <c r="I110" s="217">
        <v>0.3</v>
      </c>
      <c r="J110" s="217">
        <v>6333.7</v>
      </c>
      <c r="K110" s="237"/>
      <c r="L110" s="217">
        <v>1900.11</v>
      </c>
      <c r="M110" s="217"/>
      <c r="N110" s="238">
        <f ca="1">工程量核对表!F81</f>
        <v>0.37311224</v>
      </c>
      <c r="O110" s="239">
        <f t="shared" si="31"/>
        <v>6333.7</v>
      </c>
      <c r="P110" s="239"/>
      <c r="Q110" s="224">
        <f ca="1" t="shared" si="32"/>
        <v>2363.180994488</v>
      </c>
      <c r="R110" s="253"/>
      <c r="S110" s="239">
        <f ca="1" t="shared" si="33"/>
        <v>399.730994488</v>
      </c>
      <c r="T110" s="238">
        <f ca="1" t="shared" si="34"/>
        <v>463.070994488</v>
      </c>
      <c r="U110" s="179"/>
    </row>
    <row r="111" s="122" customFormat="1" ht="17" customHeight="1" spans="1:21">
      <c r="A111" s="215">
        <f>工程量核对表!A82</f>
        <v>8</v>
      </c>
      <c r="B111" s="216" t="str">
        <f>工程量核对表!B82</f>
        <v>M10砂浆抹面</v>
      </c>
      <c r="C111" s="158" t="str">
        <f>工程量核对表!C82</f>
        <v>m2</v>
      </c>
      <c r="D111" s="217">
        <v>131.44</v>
      </c>
      <c r="E111" s="217">
        <v>20.51</v>
      </c>
      <c r="F111" s="217"/>
      <c r="G111" s="217">
        <v>2695.83</v>
      </c>
      <c r="H111" s="217"/>
      <c r="I111" s="217">
        <v>41.76</v>
      </c>
      <c r="J111" s="217">
        <v>20.51</v>
      </c>
      <c r="K111" s="237"/>
      <c r="L111" s="217">
        <v>856.5</v>
      </c>
      <c r="M111" s="217"/>
      <c r="N111" s="238">
        <f ca="1">工程量核对表!F82</f>
        <v>35.08636</v>
      </c>
      <c r="O111" s="239">
        <f t="shared" si="31"/>
        <v>20.51</v>
      </c>
      <c r="P111" s="239"/>
      <c r="Q111" s="224">
        <f ca="1" t="shared" si="32"/>
        <v>719.6212436</v>
      </c>
      <c r="R111" s="253"/>
      <c r="S111" s="239">
        <f ca="1" t="shared" si="33"/>
        <v>-1976.2087564</v>
      </c>
      <c r="T111" s="238">
        <f ca="1" t="shared" si="34"/>
        <v>-136.8787564</v>
      </c>
      <c r="U111" s="179"/>
    </row>
    <row r="112" s="122" customFormat="1" ht="17" customHeight="1" spans="1:21">
      <c r="A112" s="215">
        <f>工程量核对表!A83</f>
        <v>9</v>
      </c>
      <c r="B112" s="216" t="str">
        <f>工程量核对表!B83</f>
        <v>池壁贴瓷砖</v>
      </c>
      <c r="C112" s="158" t="str">
        <f>工程量核对表!C83</f>
        <v>m2</v>
      </c>
      <c r="D112" s="217">
        <v>9.85</v>
      </c>
      <c r="E112" s="217">
        <v>95.34</v>
      </c>
      <c r="F112" s="217"/>
      <c r="G112" s="217">
        <v>939.1</v>
      </c>
      <c r="H112" s="217"/>
      <c r="I112" s="217">
        <v>10.98</v>
      </c>
      <c r="J112" s="217">
        <v>95.34</v>
      </c>
      <c r="K112" s="237"/>
      <c r="L112" s="217">
        <v>1046.83</v>
      </c>
      <c r="M112" s="258"/>
      <c r="N112" s="238">
        <f ca="1">工程量核对表!F83</f>
        <v>9.5456</v>
      </c>
      <c r="O112" s="239">
        <f t="shared" si="31"/>
        <v>95.34</v>
      </c>
      <c r="P112" s="259"/>
      <c r="Q112" s="224">
        <f ca="1" t="shared" si="32"/>
        <v>910.077504</v>
      </c>
      <c r="R112" s="253"/>
      <c r="S112" s="239">
        <f ca="1" t="shared" si="33"/>
        <v>-29.0224959999999</v>
      </c>
      <c r="T112" s="238">
        <f ca="1" t="shared" si="34"/>
        <v>-136.752496</v>
      </c>
      <c r="U112" s="260"/>
    </row>
    <row r="113" s="122" customFormat="1" ht="17" customHeight="1" spans="1:21">
      <c r="A113" s="215">
        <f>工程量核对表!A84</f>
        <v>10</v>
      </c>
      <c r="B113" s="216" t="str">
        <f>工程量核对表!B84</f>
        <v>M7.5浆砌页岩砖</v>
      </c>
      <c r="C113" s="158" t="str">
        <f>工程量核对表!C84</f>
        <v>m3</v>
      </c>
      <c r="D113" s="217">
        <v>11.65</v>
      </c>
      <c r="E113" s="217">
        <v>637.15</v>
      </c>
      <c r="F113" s="217"/>
      <c r="G113" s="217">
        <v>7422.8</v>
      </c>
      <c r="H113" s="217"/>
      <c r="I113" s="217">
        <v>7.45</v>
      </c>
      <c r="J113" s="217">
        <v>637.15</v>
      </c>
      <c r="K113" s="237"/>
      <c r="L113" s="217">
        <v>4746.77</v>
      </c>
      <c r="M113" s="217"/>
      <c r="N113" s="238">
        <f ca="1">工程量核对表!F84</f>
        <v>6.8386688</v>
      </c>
      <c r="O113" s="239">
        <f t="shared" si="31"/>
        <v>637.15</v>
      </c>
      <c r="P113" s="239"/>
      <c r="Q113" s="224">
        <f ca="1" t="shared" si="32"/>
        <v>4357.25782592</v>
      </c>
      <c r="R113" s="253"/>
      <c r="S113" s="239">
        <f ca="1" t="shared" si="33"/>
        <v>-3065.54217408</v>
      </c>
      <c r="T113" s="238">
        <f ca="1" t="shared" si="34"/>
        <v>-389.51217408</v>
      </c>
      <c r="U113" s="179"/>
    </row>
    <row r="114" s="122" customFormat="1" ht="17" customHeight="1" spans="1:21">
      <c r="A114" s="215">
        <f>工程量核对表!A85</f>
        <v>11</v>
      </c>
      <c r="B114" s="216" t="str">
        <f>工程量核对表!B85</f>
        <v>铁梯制安</v>
      </c>
      <c r="C114" s="158" t="str">
        <f>工程量核对表!C85</f>
        <v>t</v>
      </c>
      <c r="D114" s="217">
        <v>0.01</v>
      </c>
      <c r="E114" s="217">
        <v>6533.67</v>
      </c>
      <c r="F114" s="217"/>
      <c r="G114" s="217">
        <v>65.34</v>
      </c>
      <c r="H114" s="217"/>
      <c r="I114" s="217">
        <v>0.01</v>
      </c>
      <c r="J114" s="217">
        <v>6533.67</v>
      </c>
      <c r="K114" s="237"/>
      <c r="L114" s="217">
        <v>65.34</v>
      </c>
      <c r="M114" s="217"/>
      <c r="N114" s="238">
        <f ca="1">工程量核对表!F85</f>
        <v>0</v>
      </c>
      <c r="O114" s="239">
        <f t="shared" si="31"/>
        <v>6533.67</v>
      </c>
      <c r="P114" s="239"/>
      <c r="Q114" s="224">
        <f ca="1" t="shared" si="32"/>
        <v>0</v>
      </c>
      <c r="R114" s="253"/>
      <c r="S114" s="239">
        <f ca="1" t="shared" si="33"/>
        <v>-65.34</v>
      </c>
      <c r="T114" s="238">
        <f ca="1" t="shared" si="34"/>
        <v>-65.34</v>
      </c>
      <c r="U114" s="179"/>
    </row>
    <row r="115" s="122" customFormat="1" ht="17" customHeight="1" spans="1:21">
      <c r="A115" s="215">
        <f>工程量核对表!A86</f>
        <v>12</v>
      </c>
      <c r="B115" s="216" t="str">
        <f>工程量核对表!B86</f>
        <v>通气、进人孔</v>
      </c>
      <c r="C115" s="158" t="str">
        <f>工程量核对表!C86</f>
        <v>套</v>
      </c>
      <c r="D115" s="217">
        <v>1</v>
      </c>
      <c r="E115" s="217">
        <v>450</v>
      </c>
      <c r="F115" s="217"/>
      <c r="G115" s="217">
        <v>450</v>
      </c>
      <c r="H115" s="217"/>
      <c r="I115" s="217">
        <v>1</v>
      </c>
      <c r="J115" s="217">
        <v>450</v>
      </c>
      <c r="K115" s="237"/>
      <c r="L115" s="217">
        <v>450</v>
      </c>
      <c r="M115" s="217"/>
      <c r="N115" s="238">
        <f ca="1">工程量核对表!F86</f>
        <v>1</v>
      </c>
      <c r="O115" s="239">
        <f t="shared" si="31"/>
        <v>450</v>
      </c>
      <c r="P115" s="239"/>
      <c r="Q115" s="224">
        <f ca="1" t="shared" si="32"/>
        <v>450</v>
      </c>
      <c r="R115" s="253"/>
      <c r="S115" s="239">
        <f ca="1" t="shared" si="33"/>
        <v>0</v>
      </c>
      <c r="T115" s="238">
        <f ca="1" t="shared" si="34"/>
        <v>0</v>
      </c>
      <c r="U115" s="179"/>
    </row>
    <row r="116" s="122" customFormat="1" ht="22.5" spans="1:21">
      <c r="A116" s="215">
        <f>工程量核对表!A87</f>
        <v>13</v>
      </c>
      <c r="B116" s="216" t="str">
        <f>工程量核对表!B87</f>
        <v>人力二次转运材料（500元/t/km,运距0.2km）</v>
      </c>
      <c r="C116" s="158" t="str">
        <f>工程量核对表!C87</f>
        <v>t</v>
      </c>
      <c r="D116" s="217">
        <v>42</v>
      </c>
      <c r="E116" s="217">
        <v>100</v>
      </c>
      <c r="F116" s="217"/>
      <c r="G116" s="217">
        <v>4200</v>
      </c>
      <c r="H116" s="217"/>
      <c r="I116" s="217">
        <v>30</v>
      </c>
      <c r="J116" s="217">
        <v>100</v>
      </c>
      <c r="K116" s="237"/>
      <c r="L116" s="217">
        <v>3000</v>
      </c>
      <c r="M116" s="217"/>
      <c r="N116" s="238"/>
      <c r="O116" s="239"/>
      <c r="P116" s="239"/>
      <c r="Q116" s="224">
        <f ca="1">SUM(Q117:Q121)</f>
        <v>1933.73168404223</v>
      </c>
      <c r="R116" s="253"/>
      <c r="S116" s="239">
        <f ca="1" t="shared" si="33"/>
        <v>-2266.26831595777</v>
      </c>
      <c r="T116" s="238">
        <f ca="1" t="shared" si="34"/>
        <v>-1066.26831595777</v>
      </c>
      <c r="U116" s="179" t="s">
        <v>69</v>
      </c>
    </row>
    <row r="117" s="193" customFormat="1" ht="17" customHeight="1" spans="1:21">
      <c r="A117" s="221"/>
      <c r="B117" s="222" t="s">
        <v>59</v>
      </c>
      <c r="C117" s="223" t="s">
        <v>60</v>
      </c>
      <c r="D117" s="224"/>
      <c r="E117" s="224"/>
      <c r="F117" s="224"/>
      <c r="G117" s="224"/>
      <c r="H117" s="224"/>
      <c r="I117" s="224"/>
      <c r="J117" s="224"/>
      <c r="K117" s="239"/>
      <c r="L117" s="224"/>
      <c r="M117" s="224"/>
      <c r="N117" s="238">
        <f ca="1">二转材料统计!W28</f>
        <v>2.2613292523694</v>
      </c>
      <c r="O117" s="239">
        <v>85.84</v>
      </c>
      <c r="P117" s="239"/>
      <c r="Q117" s="224">
        <f ca="1" t="shared" si="32"/>
        <v>194.112503023389</v>
      </c>
      <c r="R117" s="253"/>
      <c r="S117" s="239"/>
      <c r="T117" s="238"/>
      <c r="U117" s="256"/>
    </row>
    <row r="118" s="193" customFormat="1" ht="17" customHeight="1" spans="1:21">
      <c r="A118" s="221"/>
      <c r="B118" s="222" t="s">
        <v>61</v>
      </c>
      <c r="C118" s="223" t="s">
        <v>62</v>
      </c>
      <c r="D118" s="224"/>
      <c r="E118" s="224"/>
      <c r="F118" s="224"/>
      <c r="G118" s="224"/>
      <c r="H118" s="224"/>
      <c r="I118" s="224"/>
      <c r="J118" s="224"/>
      <c r="K118" s="239"/>
      <c r="L118" s="224"/>
      <c r="M118" s="224"/>
      <c r="N118" s="238">
        <f ca="1">二转材料统计!X28</f>
        <v>4.564067401</v>
      </c>
      <c r="O118" s="239">
        <v>111.59</v>
      </c>
      <c r="P118" s="239"/>
      <c r="Q118" s="224">
        <f ca="1" t="shared" si="32"/>
        <v>509.30428127759</v>
      </c>
      <c r="R118" s="253"/>
      <c r="S118" s="239"/>
      <c r="T118" s="238"/>
      <c r="U118" s="256"/>
    </row>
    <row r="119" s="193" customFormat="1" ht="17" customHeight="1" spans="1:21">
      <c r="A119" s="221"/>
      <c r="B119" s="222" t="s">
        <v>63</v>
      </c>
      <c r="C119" s="223" t="s">
        <v>62</v>
      </c>
      <c r="D119" s="224"/>
      <c r="E119" s="224"/>
      <c r="F119" s="224"/>
      <c r="G119" s="224"/>
      <c r="H119" s="224"/>
      <c r="I119" s="224"/>
      <c r="J119" s="224"/>
      <c r="K119" s="239"/>
      <c r="L119" s="224"/>
      <c r="M119" s="224"/>
      <c r="N119" s="238">
        <f ca="1">二转材料统计!Y28</f>
        <v>3.438140174</v>
      </c>
      <c r="O119" s="239">
        <v>128.78</v>
      </c>
      <c r="P119" s="239"/>
      <c r="Q119" s="224">
        <f ca="1" t="shared" si="32"/>
        <v>442.76369160772</v>
      </c>
      <c r="R119" s="253"/>
      <c r="S119" s="239"/>
      <c r="T119" s="238"/>
      <c r="U119" s="256"/>
    </row>
    <row r="120" s="193" customFormat="1" ht="17" customHeight="1" spans="1:21">
      <c r="A120" s="221"/>
      <c r="B120" s="222" t="s">
        <v>64</v>
      </c>
      <c r="C120" s="223" t="s">
        <v>65</v>
      </c>
      <c r="D120" s="224"/>
      <c r="E120" s="224"/>
      <c r="F120" s="224"/>
      <c r="G120" s="224"/>
      <c r="H120" s="224"/>
      <c r="I120" s="224"/>
      <c r="J120" s="224"/>
      <c r="K120" s="239"/>
      <c r="L120" s="224"/>
      <c r="M120" s="224"/>
      <c r="N120" s="238">
        <f ca="1">二转材料统计!Z28</f>
        <v>3.6518491392</v>
      </c>
      <c r="O120" s="239">
        <f>O118*1.854</f>
        <v>206.88786</v>
      </c>
      <c r="P120" s="239"/>
      <c r="Q120" s="224">
        <f ca="1" t="shared" si="32"/>
        <v>755.52325345193</v>
      </c>
      <c r="R120" s="253"/>
      <c r="S120" s="239"/>
      <c r="T120" s="238"/>
      <c r="U120" s="256"/>
    </row>
    <row r="121" s="193" customFormat="1" ht="17" customHeight="1" spans="1:21">
      <c r="A121" s="221"/>
      <c r="B121" s="222" t="s">
        <v>66</v>
      </c>
      <c r="C121" s="223" t="s">
        <v>60</v>
      </c>
      <c r="D121" s="224"/>
      <c r="E121" s="224"/>
      <c r="F121" s="224"/>
      <c r="G121" s="224"/>
      <c r="H121" s="224"/>
      <c r="I121" s="224"/>
      <c r="J121" s="224"/>
      <c r="K121" s="239"/>
      <c r="L121" s="224"/>
      <c r="M121" s="224"/>
      <c r="N121" s="244">
        <f ca="1">N110+N114</f>
        <v>0.37311224</v>
      </c>
      <c r="O121" s="239">
        <f>O117</f>
        <v>85.84</v>
      </c>
      <c r="P121" s="239"/>
      <c r="Q121" s="224">
        <f ca="1" t="shared" si="32"/>
        <v>32.0279546816</v>
      </c>
      <c r="R121" s="253"/>
      <c r="S121" s="239"/>
      <c r="T121" s="238"/>
      <c r="U121" s="256"/>
    </row>
    <row r="122" s="122" customFormat="1" ht="17" customHeight="1" spans="1:21">
      <c r="A122" s="215" t="str">
        <f>工程量核对表!A88</f>
        <v>增</v>
      </c>
      <c r="B122" s="216" t="str">
        <f>工程量核对表!B88</f>
        <v>不锈钢栏杆</v>
      </c>
      <c r="C122" s="158" t="str">
        <f>工程量核对表!C88</f>
        <v>m</v>
      </c>
      <c r="D122" s="217"/>
      <c r="E122" s="217"/>
      <c r="F122" s="217"/>
      <c r="G122" s="217"/>
      <c r="H122" s="217"/>
      <c r="I122" s="217">
        <v>17</v>
      </c>
      <c r="J122" s="237">
        <v>180</v>
      </c>
      <c r="K122" s="237"/>
      <c r="L122" s="217">
        <v>3060</v>
      </c>
      <c r="M122" s="217"/>
      <c r="N122" s="238">
        <f ca="1">工程量核对表!F88</f>
        <v>17.7</v>
      </c>
      <c r="O122" s="239">
        <f>J122</f>
        <v>180</v>
      </c>
      <c r="P122" s="239"/>
      <c r="Q122" s="224">
        <f ca="1" t="shared" si="32"/>
        <v>3186</v>
      </c>
      <c r="R122" s="253"/>
      <c r="S122" s="239">
        <f ca="1">Q122-G122</f>
        <v>3186</v>
      </c>
      <c r="T122" s="238">
        <f ca="1">Q122-L122</f>
        <v>126</v>
      </c>
      <c r="U122" s="179" t="s">
        <v>70</v>
      </c>
    </row>
    <row r="123" s="122" customFormat="1" ht="17" customHeight="1" spans="1:21">
      <c r="A123" s="218" t="str">
        <f>工程量核对表!A89</f>
        <v>（三）</v>
      </c>
      <c r="B123" s="219" t="str">
        <f>工程量核对表!B89</f>
        <v>绿化种草</v>
      </c>
      <c r="C123" s="165" t="str">
        <f>工程量核对表!C89</f>
        <v>m2</v>
      </c>
      <c r="D123" s="220">
        <v>29</v>
      </c>
      <c r="E123" s="220">
        <v>45</v>
      </c>
      <c r="F123" s="220"/>
      <c r="G123" s="220">
        <v>1305</v>
      </c>
      <c r="H123" s="220"/>
      <c r="I123" s="220"/>
      <c r="J123" s="240"/>
      <c r="K123" s="240"/>
      <c r="L123" s="220"/>
      <c r="M123" s="220"/>
      <c r="N123" s="241">
        <f ca="1">工程量核对表!F89</f>
        <v>0</v>
      </c>
      <c r="O123" s="242">
        <f>E123</f>
        <v>45</v>
      </c>
      <c r="P123" s="242"/>
      <c r="Q123" s="254">
        <f ca="1" t="shared" si="32"/>
        <v>0</v>
      </c>
      <c r="R123" s="255"/>
      <c r="S123" s="242">
        <f ca="1">Q123-G123</f>
        <v>-1305</v>
      </c>
      <c r="T123" s="241">
        <f ca="1">Q123-L123</f>
        <v>0</v>
      </c>
      <c r="U123" s="181"/>
    </row>
    <row r="124" s="122" customFormat="1" ht="17" customHeight="1" spans="1:21">
      <c r="A124" s="218" t="str">
        <f>工程量核对表!A90</f>
        <v>（四）</v>
      </c>
      <c r="B124" s="219" t="str">
        <f>工程量核对表!B90</f>
        <v>硬化带</v>
      </c>
      <c r="C124" s="165" t="str">
        <f>工程量核对表!C90</f>
        <v>m</v>
      </c>
      <c r="D124" s="220">
        <v>16</v>
      </c>
      <c r="E124" s="220">
        <v>83.25</v>
      </c>
      <c r="F124" s="220"/>
      <c r="G124" s="220">
        <v>1331.99</v>
      </c>
      <c r="H124" s="220"/>
      <c r="I124" s="220"/>
      <c r="J124" s="240"/>
      <c r="K124" s="240"/>
      <c r="L124" s="220"/>
      <c r="M124" s="220"/>
      <c r="N124" s="241"/>
      <c r="O124" s="242"/>
      <c r="P124" s="242"/>
      <c r="Q124" s="254">
        <f ca="1" t="shared" ref="Q124:T124" si="35">SUM(Q125:Q127)</f>
        <v>0</v>
      </c>
      <c r="R124" s="255"/>
      <c r="S124" s="220">
        <f ca="1" t="shared" si="35"/>
        <v>-1331.99</v>
      </c>
      <c r="T124" s="220">
        <f ca="1" t="shared" si="35"/>
        <v>0</v>
      </c>
      <c r="U124" s="181"/>
    </row>
    <row r="125" s="122" customFormat="1" ht="17" customHeight="1" spans="1:21">
      <c r="A125" s="215">
        <f>工程量核对表!A91</f>
        <v>1</v>
      </c>
      <c r="B125" s="216" t="str">
        <f>工程量核对表!B91</f>
        <v>5cm厚砂石垫层</v>
      </c>
      <c r="C125" s="158" t="str">
        <f>工程量核对表!C91</f>
        <v>m3</v>
      </c>
      <c r="D125" s="217">
        <v>0.64</v>
      </c>
      <c r="E125" s="217">
        <v>191.39</v>
      </c>
      <c r="F125" s="217"/>
      <c r="G125" s="217">
        <v>122.49</v>
      </c>
      <c r="H125" s="217"/>
      <c r="I125" s="217"/>
      <c r="J125" s="237"/>
      <c r="K125" s="237"/>
      <c r="L125" s="217"/>
      <c r="M125" s="217"/>
      <c r="N125" s="238">
        <f ca="1">工程量核对表!F91</f>
        <v>0</v>
      </c>
      <c r="O125" s="239">
        <f t="shared" ref="O125:O127" si="36">E125</f>
        <v>191.39</v>
      </c>
      <c r="P125" s="239"/>
      <c r="Q125" s="224">
        <f ca="1" t="shared" ref="Q125:Q139" si="37">N125*O125</f>
        <v>0</v>
      </c>
      <c r="R125" s="253"/>
      <c r="S125" s="239">
        <f ca="1" t="shared" ref="S125:S139" si="38">Q125-G125</f>
        <v>-122.49</v>
      </c>
      <c r="T125" s="238">
        <f ca="1" t="shared" ref="T125:T139" si="39">Q125-L125</f>
        <v>0</v>
      </c>
      <c r="U125" s="179"/>
    </row>
    <row r="126" s="122" customFormat="1" ht="17" customHeight="1" spans="1:21">
      <c r="A126" s="215">
        <f>工程量核对表!A92</f>
        <v>2</v>
      </c>
      <c r="B126" s="216" t="str">
        <f>工程量核对表!B92</f>
        <v>10cm厚C20砼硬化带</v>
      </c>
      <c r="C126" s="158" t="str">
        <f>工程量核对表!C92</f>
        <v>m3</v>
      </c>
      <c r="D126" s="217">
        <v>1.28</v>
      </c>
      <c r="E126" s="217">
        <v>607.42</v>
      </c>
      <c r="F126" s="217"/>
      <c r="G126" s="217">
        <v>777.5</v>
      </c>
      <c r="H126" s="217"/>
      <c r="I126" s="217"/>
      <c r="J126" s="237"/>
      <c r="K126" s="237"/>
      <c r="L126" s="217"/>
      <c r="M126" s="217"/>
      <c r="N126" s="238">
        <f ca="1">工程量核对表!F92</f>
        <v>0</v>
      </c>
      <c r="O126" s="239">
        <f t="shared" si="36"/>
        <v>607.42</v>
      </c>
      <c r="P126" s="239"/>
      <c r="Q126" s="224">
        <f ca="1" t="shared" si="37"/>
        <v>0</v>
      </c>
      <c r="R126" s="253"/>
      <c r="S126" s="239">
        <f ca="1" t="shared" si="38"/>
        <v>-777.5</v>
      </c>
      <c r="T126" s="238">
        <f ca="1" t="shared" si="39"/>
        <v>0</v>
      </c>
      <c r="U126" s="179"/>
    </row>
    <row r="127" s="122" customFormat="1" ht="17" customHeight="1" spans="1:21">
      <c r="A127" s="215">
        <f>工程量核对表!A93</f>
        <v>3</v>
      </c>
      <c r="B127" s="216" t="str">
        <f>工程量核对表!B93</f>
        <v>人力二次转运材料（500元/t/km,运距0.2km）</v>
      </c>
      <c r="C127" s="158" t="str">
        <f>工程量核对表!C93</f>
        <v>t</v>
      </c>
      <c r="D127" s="217">
        <v>4.32</v>
      </c>
      <c r="E127" s="217">
        <v>100</v>
      </c>
      <c r="F127" s="217"/>
      <c r="G127" s="217">
        <v>432</v>
      </c>
      <c r="H127" s="217"/>
      <c r="I127" s="217"/>
      <c r="J127" s="237"/>
      <c r="K127" s="237"/>
      <c r="L127" s="217"/>
      <c r="M127" s="217"/>
      <c r="N127" s="238">
        <f ca="1">工程量核对表!F93</f>
        <v>0</v>
      </c>
      <c r="O127" s="239">
        <f t="shared" si="36"/>
        <v>100</v>
      </c>
      <c r="P127" s="239"/>
      <c r="Q127" s="224">
        <f ca="1" t="shared" si="37"/>
        <v>0</v>
      </c>
      <c r="R127" s="253"/>
      <c r="S127" s="239">
        <f ca="1" t="shared" si="38"/>
        <v>-432</v>
      </c>
      <c r="T127" s="238">
        <f ca="1" t="shared" si="39"/>
        <v>0</v>
      </c>
      <c r="U127" s="179"/>
    </row>
    <row r="128" s="122" customFormat="1" ht="17" customHeight="1" spans="1:21">
      <c r="A128" s="218" t="str">
        <f>工程量核对表!A94</f>
        <v>（五）</v>
      </c>
      <c r="B128" s="219" t="str">
        <f>工程量核对表!B94</f>
        <v>围墙</v>
      </c>
      <c r="C128" s="165" t="str">
        <f>工程量核对表!C94</f>
        <v>m</v>
      </c>
      <c r="D128" s="220">
        <v>28</v>
      </c>
      <c r="E128" s="220">
        <v>793.78</v>
      </c>
      <c r="F128" s="220"/>
      <c r="G128" s="220">
        <v>22225.76</v>
      </c>
      <c r="H128" s="220"/>
      <c r="I128" s="220"/>
      <c r="J128" s="240"/>
      <c r="K128" s="240"/>
      <c r="L128" s="220"/>
      <c r="M128" s="220"/>
      <c r="N128" s="241"/>
      <c r="O128" s="242"/>
      <c r="P128" s="242"/>
      <c r="Q128" s="254">
        <f ca="1" t="shared" ref="Q128:T128" si="40">SUM(Q129:Q137)</f>
        <v>0</v>
      </c>
      <c r="R128" s="255"/>
      <c r="S128" s="220">
        <f ca="1" t="shared" si="40"/>
        <v>-22225.76</v>
      </c>
      <c r="T128" s="220">
        <f ca="1" t="shared" si="40"/>
        <v>0</v>
      </c>
      <c r="U128" s="181"/>
    </row>
    <row r="129" s="122" customFormat="1" ht="17" customHeight="1" spans="1:21">
      <c r="A129" s="215">
        <f>工程量核对表!A95</f>
        <v>1</v>
      </c>
      <c r="B129" s="216" t="str">
        <f>工程量核对表!B95</f>
        <v>土方开挖</v>
      </c>
      <c r="C129" s="158" t="str">
        <f>工程量核对表!C95</f>
        <v>m3</v>
      </c>
      <c r="D129" s="217">
        <v>2.8</v>
      </c>
      <c r="E129" s="217">
        <v>19.7</v>
      </c>
      <c r="F129" s="217"/>
      <c r="G129" s="217">
        <v>55.16</v>
      </c>
      <c r="H129" s="217"/>
      <c r="I129" s="217"/>
      <c r="J129" s="237"/>
      <c r="K129" s="237"/>
      <c r="L129" s="217"/>
      <c r="M129" s="217"/>
      <c r="N129" s="238">
        <f ca="1">工程量核对表!F95</f>
        <v>0</v>
      </c>
      <c r="O129" s="239">
        <f t="shared" ref="O129:O139" si="41">E129</f>
        <v>19.7</v>
      </c>
      <c r="P129" s="239"/>
      <c r="Q129" s="224">
        <f ca="1" t="shared" si="37"/>
        <v>0</v>
      </c>
      <c r="R129" s="253"/>
      <c r="S129" s="239">
        <f ca="1" t="shared" si="38"/>
        <v>-55.16</v>
      </c>
      <c r="T129" s="238">
        <f ca="1" t="shared" si="39"/>
        <v>0</v>
      </c>
      <c r="U129" s="179"/>
    </row>
    <row r="130" s="122" customFormat="1" ht="17" customHeight="1" spans="1:21">
      <c r="A130" s="215">
        <f>工程量核对表!A96</f>
        <v>2</v>
      </c>
      <c r="B130" s="216" t="str">
        <f>工程量核对表!B96</f>
        <v>石方开挖</v>
      </c>
      <c r="C130" s="158" t="str">
        <f>工程量核对表!C96</f>
        <v>m3</v>
      </c>
      <c r="D130" s="217">
        <v>2.8</v>
      </c>
      <c r="E130" s="217">
        <v>57.48</v>
      </c>
      <c r="F130" s="217"/>
      <c r="G130" s="217">
        <v>160.94</v>
      </c>
      <c r="H130" s="217"/>
      <c r="I130" s="217"/>
      <c r="J130" s="237"/>
      <c r="K130" s="237"/>
      <c r="L130" s="217"/>
      <c r="M130" s="217"/>
      <c r="N130" s="238">
        <f ca="1">工程量核对表!F96</f>
        <v>0</v>
      </c>
      <c r="O130" s="239">
        <f t="shared" si="41"/>
        <v>57.48</v>
      </c>
      <c r="P130" s="239"/>
      <c r="Q130" s="224">
        <f ca="1" t="shared" si="37"/>
        <v>0</v>
      </c>
      <c r="R130" s="253"/>
      <c r="S130" s="239">
        <f ca="1" t="shared" si="38"/>
        <v>-160.94</v>
      </c>
      <c r="T130" s="238">
        <f ca="1" t="shared" si="39"/>
        <v>0</v>
      </c>
      <c r="U130" s="179"/>
    </row>
    <row r="131" s="122" customFormat="1" ht="17" customHeight="1" spans="1:21">
      <c r="A131" s="215">
        <f>工程量核对表!A97</f>
        <v>3</v>
      </c>
      <c r="B131" s="216" t="str">
        <f>工程量核对表!B97</f>
        <v>土方回填</v>
      </c>
      <c r="C131" s="158" t="str">
        <f>工程量核对表!C97</f>
        <v>m3</v>
      </c>
      <c r="D131" s="217">
        <v>1.4</v>
      </c>
      <c r="E131" s="217">
        <v>27.94</v>
      </c>
      <c r="F131" s="217"/>
      <c r="G131" s="217">
        <v>39.12</v>
      </c>
      <c r="H131" s="217"/>
      <c r="I131" s="217"/>
      <c r="J131" s="237"/>
      <c r="K131" s="237"/>
      <c r="L131" s="217"/>
      <c r="M131" s="217"/>
      <c r="N131" s="238">
        <f ca="1">工程量核对表!F97</f>
        <v>0</v>
      </c>
      <c r="O131" s="239">
        <f t="shared" si="41"/>
        <v>27.94</v>
      </c>
      <c r="P131" s="239"/>
      <c r="Q131" s="224">
        <f ca="1" t="shared" si="37"/>
        <v>0</v>
      </c>
      <c r="R131" s="253"/>
      <c r="S131" s="239">
        <f ca="1" t="shared" si="38"/>
        <v>-39.12</v>
      </c>
      <c r="T131" s="238">
        <f ca="1" t="shared" si="39"/>
        <v>0</v>
      </c>
      <c r="U131" s="179"/>
    </row>
    <row r="132" s="122" customFormat="1" ht="17" customHeight="1" spans="1:21">
      <c r="A132" s="215">
        <f>工程量核对表!A98</f>
        <v>4</v>
      </c>
      <c r="B132" s="216" t="str">
        <f>工程量核对表!B98</f>
        <v>M7.5浆砌页岩砖(墙体)</v>
      </c>
      <c r="C132" s="158" t="str">
        <f>工程量核对表!C98</f>
        <v>m3</v>
      </c>
      <c r="D132" s="217">
        <v>9.8</v>
      </c>
      <c r="E132" s="217">
        <v>637.15</v>
      </c>
      <c r="F132" s="217"/>
      <c r="G132" s="217">
        <v>6244.07</v>
      </c>
      <c r="H132" s="217"/>
      <c r="I132" s="217"/>
      <c r="J132" s="237"/>
      <c r="K132" s="237"/>
      <c r="L132" s="217"/>
      <c r="M132" s="217"/>
      <c r="N132" s="238">
        <f ca="1">工程量核对表!F98</f>
        <v>0</v>
      </c>
      <c r="O132" s="239">
        <f t="shared" si="41"/>
        <v>637.15</v>
      </c>
      <c r="P132" s="239"/>
      <c r="Q132" s="224">
        <f ca="1" t="shared" si="37"/>
        <v>0</v>
      </c>
      <c r="R132" s="253"/>
      <c r="S132" s="239">
        <f ca="1" t="shared" si="38"/>
        <v>-6244.07</v>
      </c>
      <c r="T132" s="238">
        <f ca="1" t="shared" si="39"/>
        <v>0</v>
      </c>
      <c r="U132" s="179"/>
    </row>
    <row r="133" s="122" customFormat="1" ht="17" customHeight="1" spans="1:21">
      <c r="A133" s="215">
        <f>工程量核对表!A99</f>
        <v>5</v>
      </c>
      <c r="B133" s="216" t="str">
        <f>工程量核对表!B99</f>
        <v>C25混凝土浇筑（基础高0.3m，宽0.3m）</v>
      </c>
      <c r="C133" s="158" t="str">
        <f>工程量核对表!C99</f>
        <v>m3</v>
      </c>
      <c r="D133" s="217">
        <v>2.52</v>
      </c>
      <c r="E133" s="217">
        <v>626.37</v>
      </c>
      <c r="F133" s="217"/>
      <c r="G133" s="217">
        <v>1578.45</v>
      </c>
      <c r="H133" s="217"/>
      <c r="I133" s="217"/>
      <c r="J133" s="237"/>
      <c r="K133" s="237"/>
      <c r="L133" s="217"/>
      <c r="M133" s="217"/>
      <c r="N133" s="238">
        <f ca="1">工程量核对表!F99</f>
        <v>0</v>
      </c>
      <c r="O133" s="239">
        <f t="shared" si="41"/>
        <v>626.37</v>
      </c>
      <c r="P133" s="239"/>
      <c r="Q133" s="224">
        <f ca="1" t="shared" si="37"/>
        <v>0</v>
      </c>
      <c r="R133" s="253"/>
      <c r="S133" s="239">
        <f ca="1" t="shared" si="38"/>
        <v>-1578.45</v>
      </c>
      <c r="T133" s="238">
        <f ca="1" t="shared" si="39"/>
        <v>0</v>
      </c>
      <c r="U133" s="179"/>
    </row>
    <row r="134" s="122" customFormat="1" ht="17" customHeight="1" spans="1:21">
      <c r="A134" s="215">
        <f>工程量核对表!A100</f>
        <v>6</v>
      </c>
      <c r="B134" s="216" t="str">
        <f>工程量核对表!B100</f>
        <v>钢筋制安</v>
      </c>
      <c r="C134" s="158" t="str">
        <f>工程量核对表!C100</f>
        <v>t</v>
      </c>
      <c r="D134" s="217">
        <v>0.2464</v>
      </c>
      <c r="E134" s="217">
        <v>6333.7</v>
      </c>
      <c r="F134" s="217"/>
      <c r="G134" s="217">
        <v>1560.62</v>
      </c>
      <c r="H134" s="217"/>
      <c r="I134" s="217"/>
      <c r="J134" s="237"/>
      <c r="K134" s="237"/>
      <c r="L134" s="217"/>
      <c r="M134" s="217"/>
      <c r="N134" s="238">
        <f ca="1">工程量核对表!F100</f>
        <v>0</v>
      </c>
      <c r="O134" s="239">
        <f t="shared" si="41"/>
        <v>6333.7</v>
      </c>
      <c r="P134" s="239"/>
      <c r="Q134" s="224">
        <f ca="1" t="shared" si="37"/>
        <v>0</v>
      </c>
      <c r="R134" s="253"/>
      <c r="S134" s="239">
        <f ca="1" t="shared" si="38"/>
        <v>-1560.62</v>
      </c>
      <c r="T134" s="238">
        <f ca="1" t="shared" si="39"/>
        <v>0</v>
      </c>
      <c r="U134" s="179"/>
    </row>
    <row r="135" s="122" customFormat="1" ht="17" customHeight="1" spans="1:21">
      <c r="A135" s="215">
        <f>工程量核对表!A101</f>
        <v>7</v>
      </c>
      <c r="B135" s="216" t="str">
        <f>工程量核对表!B101</f>
        <v>围墙双面贴瓷砖</v>
      </c>
      <c r="C135" s="158" t="str">
        <f>工程量核对表!C101</f>
        <v>m2</v>
      </c>
      <c r="D135" s="217">
        <v>84</v>
      </c>
      <c r="E135" s="217">
        <v>95.34</v>
      </c>
      <c r="F135" s="217"/>
      <c r="G135" s="217">
        <v>8008.56</v>
      </c>
      <c r="H135" s="217"/>
      <c r="I135" s="217"/>
      <c r="J135" s="237"/>
      <c r="K135" s="237"/>
      <c r="L135" s="217"/>
      <c r="M135" s="217"/>
      <c r="N135" s="238">
        <f ca="1">工程量核对表!F101</f>
        <v>0</v>
      </c>
      <c r="O135" s="239">
        <f t="shared" si="41"/>
        <v>95.34</v>
      </c>
      <c r="P135" s="239"/>
      <c r="Q135" s="224">
        <f ca="1" t="shared" si="37"/>
        <v>0</v>
      </c>
      <c r="R135" s="253"/>
      <c r="S135" s="239">
        <f ca="1" t="shared" si="38"/>
        <v>-8008.56</v>
      </c>
      <c r="T135" s="238">
        <f ca="1" t="shared" si="39"/>
        <v>0</v>
      </c>
      <c r="U135" s="179"/>
    </row>
    <row r="136" s="122" customFormat="1" ht="17" customHeight="1" spans="1:21">
      <c r="A136" s="215">
        <f>工程量核对表!A102</f>
        <v>8</v>
      </c>
      <c r="B136" s="216" t="str">
        <f>工程量核对表!B102</f>
        <v>M10砂浆抹面</v>
      </c>
      <c r="C136" s="158" t="str">
        <f>工程量核对表!C102</f>
        <v>m2</v>
      </c>
      <c r="D136" s="217">
        <v>84</v>
      </c>
      <c r="E136" s="217">
        <v>20.51</v>
      </c>
      <c r="F136" s="217"/>
      <c r="G136" s="217">
        <v>1722.84</v>
      </c>
      <c r="H136" s="217"/>
      <c r="I136" s="217"/>
      <c r="J136" s="237"/>
      <c r="K136" s="237"/>
      <c r="L136" s="217"/>
      <c r="M136" s="217"/>
      <c r="N136" s="238">
        <f ca="1">工程量核对表!F102</f>
        <v>0</v>
      </c>
      <c r="O136" s="239">
        <f t="shared" si="41"/>
        <v>20.51</v>
      </c>
      <c r="P136" s="239"/>
      <c r="Q136" s="224">
        <f ca="1" t="shared" si="37"/>
        <v>0</v>
      </c>
      <c r="R136" s="253"/>
      <c r="S136" s="239">
        <f ca="1" t="shared" si="38"/>
        <v>-1722.84</v>
      </c>
      <c r="T136" s="238">
        <f ca="1" t="shared" si="39"/>
        <v>0</v>
      </c>
      <c r="U136" s="179"/>
    </row>
    <row r="137" s="122" customFormat="1" ht="17" customHeight="1" spans="1:21">
      <c r="A137" s="215">
        <f>工程量核对表!A103</f>
        <v>9</v>
      </c>
      <c r="B137" s="216" t="str">
        <f>工程量核对表!B103</f>
        <v>人力二次转运材料（500元/t/km,运距0.2km）</v>
      </c>
      <c r="C137" s="158" t="str">
        <f>工程量核对表!C103</f>
        <v>t</v>
      </c>
      <c r="D137" s="217">
        <v>28.56</v>
      </c>
      <c r="E137" s="217">
        <v>100</v>
      </c>
      <c r="F137" s="217"/>
      <c r="G137" s="217">
        <v>2856</v>
      </c>
      <c r="H137" s="217"/>
      <c r="I137" s="217"/>
      <c r="J137" s="217"/>
      <c r="K137" s="217"/>
      <c r="L137" s="217"/>
      <c r="M137" s="217"/>
      <c r="N137" s="238">
        <f ca="1">工程量核对表!F103</f>
        <v>0</v>
      </c>
      <c r="O137" s="239">
        <f t="shared" si="41"/>
        <v>100</v>
      </c>
      <c r="P137" s="239"/>
      <c r="Q137" s="224">
        <f ca="1" t="shared" si="37"/>
        <v>0</v>
      </c>
      <c r="R137" s="253"/>
      <c r="S137" s="239">
        <f ca="1" t="shared" si="38"/>
        <v>-2856</v>
      </c>
      <c r="T137" s="238">
        <f ca="1" t="shared" si="39"/>
        <v>0</v>
      </c>
      <c r="U137" s="179"/>
    </row>
    <row r="138" s="122" customFormat="1" ht="17" customHeight="1" spans="1:21">
      <c r="A138" s="218" t="str">
        <f>工程量核对表!A104</f>
        <v>（六）</v>
      </c>
      <c r="B138" s="219" t="str">
        <f>工程量核对表!B104</f>
        <v>不锈钢大门</v>
      </c>
      <c r="C138" s="165" t="str">
        <f>工程量核对表!C104</f>
        <v>m2</v>
      </c>
      <c r="D138" s="220">
        <v>1</v>
      </c>
      <c r="E138" s="220">
        <v>350</v>
      </c>
      <c r="F138" s="220"/>
      <c r="G138" s="220">
        <v>350</v>
      </c>
      <c r="H138" s="220"/>
      <c r="I138" s="220"/>
      <c r="J138" s="240"/>
      <c r="K138" s="240"/>
      <c r="L138" s="220"/>
      <c r="M138" s="220"/>
      <c r="N138" s="241">
        <f ca="1">工程量核对表!F104</f>
        <v>0</v>
      </c>
      <c r="O138" s="242">
        <f t="shared" si="41"/>
        <v>350</v>
      </c>
      <c r="P138" s="242"/>
      <c r="Q138" s="254">
        <f ca="1" t="shared" si="37"/>
        <v>0</v>
      </c>
      <c r="R138" s="255"/>
      <c r="S138" s="242">
        <f ca="1" t="shared" si="38"/>
        <v>-350</v>
      </c>
      <c r="T138" s="241">
        <f ca="1" t="shared" si="39"/>
        <v>0</v>
      </c>
      <c r="U138" s="181"/>
    </row>
    <row r="139" s="122" customFormat="1" ht="17" customHeight="1" spans="1:21">
      <c r="A139" s="218" t="str">
        <f>工程量核对表!A105</f>
        <v>（七）</v>
      </c>
      <c r="B139" s="219" t="str">
        <f>工程量核对表!B105</f>
        <v>厂牌 安全饮水标志牌 简介牌</v>
      </c>
      <c r="C139" s="165" t="str">
        <f>工程量核对表!C105</f>
        <v>套</v>
      </c>
      <c r="D139" s="220">
        <v>1</v>
      </c>
      <c r="E139" s="220">
        <v>500</v>
      </c>
      <c r="F139" s="220"/>
      <c r="G139" s="220">
        <v>500</v>
      </c>
      <c r="H139" s="220"/>
      <c r="I139" s="220"/>
      <c r="J139" s="240"/>
      <c r="K139" s="240"/>
      <c r="L139" s="220"/>
      <c r="M139" s="220"/>
      <c r="N139" s="241">
        <f ca="1">工程量核对表!F105</f>
        <v>0</v>
      </c>
      <c r="O139" s="242">
        <f t="shared" si="41"/>
        <v>500</v>
      </c>
      <c r="P139" s="242"/>
      <c r="Q139" s="254">
        <f ca="1" t="shared" si="37"/>
        <v>0</v>
      </c>
      <c r="R139" s="255"/>
      <c r="S139" s="242">
        <f ca="1" t="shared" si="38"/>
        <v>-500</v>
      </c>
      <c r="T139" s="241">
        <f ca="1" t="shared" si="39"/>
        <v>0</v>
      </c>
      <c r="U139" s="181"/>
    </row>
    <row r="140" s="122" customFormat="1" ht="17" customHeight="1" spans="1:21">
      <c r="A140" s="211" t="str">
        <f>工程量核对表!A106</f>
        <v>四</v>
      </c>
      <c r="B140" s="212" t="str">
        <f>工程量核对表!B106</f>
        <v>新增泵房</v>
      </c>
      <c r="C140" s="213" t="str">
        <f>工程量核对表!C106</f>
        <v>个</v>
      </c>
      <c r="D140" s="214"/>
      <c r="E140" s="214"/>
      <c r="F140" s="214"/>
      <c r="G140" s="214">
        <v>26069.08</v>
      </c>
      <c r="H140" s="214"/>
      <c r="I140" s="214"/>
      <c r="J140" s="233"/>
      <c r="K140" s="233"/>
      <c r="L140" s="214">
        <f>SUM(L141:L150,L156)</f>
        <v>31282.03</v>
      </c>
      <c r="M140" s="214"/>
      <c r="N140" s="234"/>
      <c r="O140" s="235"/>
      <c r="P140" s="236"/>
      <c r="Q140" s="236">
        <f ca="1" t="shared" ref="Q140:T140" si="42">SUM(Q141:Q150,Q156)</f>
        <v>16344.0370795826</v>
      </c>
      <c r="R140" s="251"/>
      <c r="S140" s="214">
        <f ca="1" t="shared" si="42"/>
        <v>-9725.04292041744</v>
      </c>
      <c r="T140" s="214">
        <f ca="1" t="shared" si="42"/>
        <v>-14937.9929204174</v>
      </c>
      <c r="U140" s="252"/>
    </row>
    <row r="141" s="122" customFormat="1" ht="17" customHeight="1" spans="1:21">
      <c r="A141" s="215">
        <f>工程量核对表!A107</f>
        <v>1</v>
      </c>
      <c r="B141" s="216" t="str">
        <f>工程量核对表!B107</f>
        <v>土方开挖</v>
      </c>
      <c r="C141" s="158" t="str">
        <f>工程量核对表!C107</f>
        <v>m3</v>
      </c>
      <c r="D141" s="217">
        <v>3.19</v>
      </c>
      <c r="E141" s="217">
        <v>19.7</v>
      </c>
      <c r="F141" s="217"/>
      <c r="G141" s="217">
        <v>62.84</v>
      </c>
      <c r="H141" s="217"/>
      <c r="I141" s="217">
        <v>21</v>
      </c>
      <c r="J141" s="217">
        <v>19.7</v>
      </c>
      <c r="K141" s="217"/>
      <c r="L141" s="217">
        <v>413.7</v>
      </c>
      <c r="M141" s="217"/>
      <c r="N141" s="238">
        <f ca="1">工程量核对表!F107</f>
        <v>21</v>
      </c>
      <c r="O141" s="239">
        <f t="shared" ref="O141:O150" si="43">E141</f>
        <v>19.7</v>
      </c>
      <c r="P141" s="239"/>
      <c r="Q141" s="224">
        <f ca="1" t="shared" ref="Q141:Q150" si="44">N141*O141</f>
        <v>413.7</v>
      </c>
      <c r="R141" s="253"/>
      <c r="S141" s="239">
        <f ca="1">Q141-G141</f>
        <v>350.86</v>
      </c>
      <c r="T141" s="238">
        <f ca="1">Q141-L141</f>
        <v>0</v>
      </c>
      <c r="U141" s="179"/>
    </row>
    <row r="142" s="122" customFormat="1" ht="17" customHeight="1" spans="1:21">
      <c r="A142" s="215">
        <f>工程量核对表!A108</f>
        <v>2</v>
      </c>
      <c r="B142" s="216" t="str">
        <f>工程量核对表!B108</f>
        <v>石方开挖</v>
      </c>
      <c r="C142" s="158" t="str">
        <f>工程量核对表!C108</f>
        <v>m3</v>
      </c>
      <c r="D142" s="217">
        <v>14.71</v>
      </c>
      <c r="E142" s="217">
        <v>57.48</v>
      </c>
      <c r="F142" s="217"/>
      <c r="G142" s="217">
        <v>845.53</v>
      </c>
      <c r="H142" s="217"/>
      <c r="I142" s="217">
        <v>3.26</v>
      </c>
      <c r="J142" s="217">
        <v>57.48</v>
      </c>
      <c r="K142" s="217"/>
      <c r="L142" s="217">
        <v>187.38</v>
      </c>
      <c r="M142" s="217"/>
      <c r="N142" s="238">
        <f ca="1">工程量核对表!F108</f>
        <v>3.255</v>
      </c>
      <c r="O142" s="239">
        <f t="shared" si="43"/>
        <v>57.48</v>
      </c>
      <c r="P142" s="239"/>
      <c r="Q142" s="224">
        <f ca="1" t="shared" si="44"/>
        <v>187.0974</v>
      </c>
      <c r="R142" s="253"/>
      <c r="S142" s="239">
        <f ca="1" t="shared" ref="S142:S150" si="45">Q142-G142</f>
        <v>-658.4326</v>
      </c>
      <c r="T142" s="238">
        <f ca="1" t="shared" ref="T142:T150" si="46">Q142-L142</f>
        <v>-0.282599999999974</v>
      </c>
      <c r="U142" s="179"/>
    </row>
    <row r="143" s="122" customFormat="1" ht="17" customHeight="1" spans="1:21">
      <c r="A143" s="215">
        <f>工程量核对表!A109</f>
        <v>3</v>
      </c>
      <c r="B143" s="216" t="str">
        <f>工程量核对表!B109</f>
        <v>土方回填</v>
      </c>
      <c r="C143" s="158" t="str">
        <f>工程量核对表!C109</f>
        <v>m3</v>
      </c>
      <c r="D143" s="217">
        <v>6</v>
      </c>
      <c r="E143" s="217">
        <v>27.94</v>
      </c>
      <c r="F143" s="258"/>
      <c r="G143" s="217">
        <v>167.64</v>
      </c>
      <c r="H143" s="258"/>
      <c r="I143" s="258"/>
      <c r="J143" s="217">
        <v>27.94</v>
      </c>
      <c r="K143" s="265"/>
      <c r="L143" s="258"/>
      <c r="M143" s="258"/>
      <c r="N143" s="238">
        <f ca="1">工程量核对表!F109</f>
        <v>0</v>
      </c>
      <c r="O143" s="239">
        <f t="shared" si="43"/>
        <v>27.94</v>
      </c>
      <c r="P143" s="239"/>
      <c r="Q143" s="224">
        <f ca="1" t="shared" si="44"/>
        <v>0</v>
      </c>
      <c r="R143" s="253"/>
      <c r="S143" s="239">
        <f ca="1" t="shared" si="45"/>
        <v>-167.64</v>
      </c>
      <c r="T143" s="238">
        <f ca="1" t="shared" si="46"/>
        <v>0</v>
      </c>
      <c r="U143" s="179"/>
    </row>
    <row r="144" s="122" customFormat="1" ht="17" customHeight="1" spans="1:21">
      <c r="A144" s="215">
        <f>工程量核对表!A110</f>
        <v>4</v>
      </c>
      <c r="B144" s="216" t="str">
        <f>工程量核对表!B110</f>
        <v>C25混凝土浇筑</v>
      </c>
      <c r="C144" s="158" t="str">
        <f>工程量核对表!C110</f>
        <v>m3</v>
      </c>
      <c r="D144" s="217">
        <v>7.8</v>
      </c>
      <c r="E144" s="217">
        <v>626.37</v>
      </c>
      <c r="F144" s="217"/>
      <c r="G144" s="217">
        <v>4885.69</v>
      </c>
      <c r="H144" s="217"/>
      <c r="I144" s="217">
        <v>10.23</v>
      </c>
      <c r="J144" s="217">
        <v>626.37</v>
      </c>
      <c r="K144" s="237"/>
      <c r="L144" s="217">
        <v>6407.77</v>
      </c>
      <c r="M144" s="217"/>
      <c r="N144" s="238">
        <f ca="1">工程量核对表!F110</f>
        <v>6.282987</v>
      </c>
      <c r="O144" s="239">
        <f t="shared" si="43"/>
        <v>626.37</v>
      </c>
      <c r="P144" s="239"/>
      <c r="Q144" s="224">
        <f ca="1" t="shared" si="44"/>
        <v>3935.47456719</v>
      </c>
      <c r="R144" s="253"/>
      <c r="S144" s="239">
        <f ca="1" t="shared" si="45"/>
        <v>-950.21543281</v>
      </c>
      <c r="T144" s="238">
        <f ca="1" t="shared" si="46"/>
        <v>-2472.29543281</v>
      </c>
      <c r="U144" s="179"/>
    </row>
    <row r="145" s="122" customFormat="1" ht="17" customHeight="1" spans="1:21">
      <c r="A145" s="215">
        <f>工程量核对表!A111</f>
        <v>5</v>
      </c>
      <c r="B145" s="216" t="str">
        <f>工程量核对表!B111</f>
        <v>M7.5浆砌页岩砖</v>
      </c>
      <c r="C145" s="158" t="str">
        <f>工程量核对表!C111</f>
        <v>m3</v>
      </c>
      <c r="D145" s="217">
        <v>12</v>
      </c>
      <c r="E145" s="217">
        <v>637.15</v>
      </c>
      <c r="F145" s="217"/>
      <c r="G145" s="217">
        <v>7645.8</v>
      </c>
      <c r="H145" s="217"/>
      <c r="I145" s="217">
        <v>9.05</v>
      </c>
      <c r="J145" s="217">
        <v>637.15</v>
      </c>
      <c r="K145" s="237"/>
      <c r="L145" s="217">
        <v>5766.21</v>
      </c>
      <c r="M145" s="217"/>
      <c r="N145" s="238">
        <f ca="1">工程量核对表!F111</f>
        <v>6.6168</v>
      </c>
      <c r="O145" s="239">
        <f t="shared" si="43"/>
        <v>637.15</v>
      </c>
      <c r="P145" s="239"/>
      <c r="Q145" s="224">
        <f ca="1" t="shared" si="44"/>
        <v>4215.89412</v>
      </c>
      <c r="R145" s="253"/>
      <c r="S145" s="239">
        <f ca="1" t="shared" si="45"/>
        <v>-3429.90588</v>
      </c>
      <c r="T145" s="238">
        <f ca="1" t="shared" si="46"/>
        <v>-1550.31588</v>
      </c>
      <c r="U145" s="179"/>
    </row>
    <row r="146" s="122" customFormat="1" ht="17" customHeight="1" spans="1:21">
      <c r="A146" s="215">
        <f>工程量核对表!A112</f>
        <v>6</v>
      </c>
      <c r="B146" s="216" t="str">
        <f>工程量核对表!B112</f>
        <v>M10砂浆抹面</v>
      </c>
      <c r="C146" s="158" t="str">
        <f>工程量核对表!C112</f>
        <v>m2</v>
      </c>
      <c r="D146" s="217">
        <v>97.9</v>
      </c>
      <c r="E146" s="217">
        <v>20.51</v>
      </c>
      <c r="F146" s="217"/>
      <c r="G146" s="217">
        <v>2007.93</v>
      </c>
      <c r="H146" s="217"/>
      <c r="I146" s="217">
        <v>75.44</v>
      </c>
      <c r="J146" s="217">
        <v>20.51</v>
      </c>
      <c r="K146" s="237"/>
      <c r="L146" s="217">
        <v>1547.27</v>
      </c>
      <c r="M146" s="217"/>
      <c r="N146" s="238">
        <f ca="1">工程量核对表!F112</f>
        <v>55.14</v>
      </c>
      <c r="O146" s="239">
        <f t="shared" si="43"/>
        <v>20.51</v>
      </c>
      <c r="P146" s="239"/>
      <c r="Q146" s="224">
        <f ca="1" t="shared" si="44"/>
        <v>1130.9214</v>
      </c>
      <c r="R146" s="253"/>
      <c r="S146" s="239">
        <f ca="1" t="shared" si="45"/>
        <v>-877.0086</v>
      </c>
      <c r="T146" s="238">
        <f ca="1" t="shared" si="46"/>
        <v>-416.3486</v>
      </c>
      <c r="U146" s="179"/>
    </row>
    <row r="147" s="122" customFormat="1" ht="17" customHeight="1" spans="1:21">
      <c r="A147" s="215">
        <f>工程量核对表!A113</f>
        <v>7</v>
      </c>
      <c r="B147" s="216" t="str">
        <f>工程量核对表!B113</f>
        <v>塑钢玻璃窗</v>
      </c>
      <c r="C147" s="158" t="str">
        <f>工程量核对表!C113</f>
        <v>m2</v>
      </c>
      <c r="D147" s="217">
        <v>5.4</v>
      </c>
      <c r="E147" s="217">
        <v>280</v>
      </c>
      <c r="F147" s="258"/>
      <c r="G147" s="217">
        <v>1512</v>
      </c>
      <c r="H147" s="258"/>
      <c r="I147" s="217">
        <v>0.8</v>
      </c>
      <c r="J147" s="217">
        <v>280</v>
      </c>
      <c r="K147" s="265"/>
      <c r="L147" s="217">
        <v>224</v>
      </c>
      <c r="M147" s="258"/>
      <c r="N147" s="238">
        <f ca="1">工程量核对表!F113</f>
        <v>0.75</v>
      </c>
      <c r="O147" s="239">
        <f t="shared" si="43"/>
        <v>280</v>
      </c>
      <c r="P147" s="239"/>
      <c r="Q147" s="224">
        <f ca="1" t="shared" si="44"/>
        <v>210</v>
      </c>
      <c r="R147" s="253"/>
      <c r="S147" s="239">
        <f ca="1" t="shared" si="45"/>
        <v>-1302</v>
      </c>
      <c r="T147" s="238">
        <f ca="1" t="shared" si="46"/>
        <v>-14</v>
      </c>
      <c r="U147" s="179"/>
    </row>
    <row r="148" s="122" customFormat="1" ht="17" customHeight="1" spans="1:21">
      <c r="A148" s="215">
        <f>工程量核对表!A114</f>
        <v>8</v>
      </c>
      <c r="B148" s="216" t="str">
        <f>工程量核对表!B114</f>
        <v>钢筋制安</v>
      </c>
      <c r="C148" s="158" t="str">
        <f>工程量核对表!C114</f>
        <v>t</v>
      </c>
      <c r="D148" s="217">
        <v>0.3</v>
      </c>
      <c r="E148" s="217">
        <v>6333.7</v>
      </c>
      <c r="F148" s="217"/>
      <c r="G148" s="217">
        <v>1900.11</v>
      </c>
      <c r="H148" s="217"/>
      <c r="I148" s="217">
        <v>0.3</v>
      </c>
      <c r="J148" s="217">
        <v>6333.7</v>
      </c>
      <c r="K148" s="237"/>
      <c r="L148" s="217">
        <v>1900.11</v>
      </c>
      <c r="M148" s="217"/>
      <c r="N148" s="244">
        <f ca="1">工程量核对表!F114</f>
        <v>0.41969353</v>
      </c>
      <c r="O148" s="239">
        <f t="shared" si="43"/>
        <v>6333.7</v>
      </c>
      <c r="P148" s="239"/>
      <c r="Q148" s="224">
        <f ca="1" t="shared" si="44"/>
        <v>2658.212910961</v>
      </c>
      <c r="R148" s="253"/>
      <c r="S148" s="239">
        <f ca="1" t="shared" si="45"/>
        <v>758.102910961</v>
      </c>
      <c r="T148" s="238">
        <f ca="1" t="shared" si="46"/>
        <v>758.102910961</v>
      </c>
      <c r="U148" s="179"/>
    </row>
    <row r="149" s="122" customFormat="1" ht="17" customHeight="1" spans="1:21">
      <c r="A149" s="215">
        <f>工程量核对表!A115</f>
        <v>9</v>
      </c>
      <c r="B149" s="216" t="str">
        <f>工程量核对表!B115</f>
        <v>模板制安</v>
      </c>
      <c r="C149" s="158" t="str">
        <f>工程量核对表!C115</f>
        <v>m2</v>
      </c>
      <c r="D149" s="217">
        <v>41.8</v>
      </c>
      <c r="E149" s="217">
        <v>58.41</v>
      </c>
      <c r="F149" s="258"/>
      <c r="G149" s="217">
        <v>2441.54</v>
      </c>
      <c r="H149" s="258"/>
      <c r="I149" s="217">
        <v>34.85</v>
      </c>
      <c r="J149" s="217">
        <v>58.41</v>
      </c>
      <c r="K149" s="265"/>
      <c r="L149" s="217">
        <v>2035.59</v>
      </c>
      <c r="M149" s="258"/>
      <c r="N149" s="238">
        <f ca="1">工程量核对表!F115</f>
        <v>27.59195</v>
      </c>
      <c r="O149" s="239">
        <f t="shared" si="43"/>
        <v>58.41</v>
      </c>
      <c r="P149" s="239"/>
      <c r="Q149" s="224">
        <f ca="1" t="shared" si="44"/>
        <v>1611.6457995</v>
      </c>
      <c r="R149" s="253"/>
      <c r="S149" s="239">
        <f ca="1" t="shared" si="45"/>
        <v>-829.8942005</v>
      </c>
      <c r="T149" s="238">
        <f ca="1" t="shared" si="46"/>
        <v>-423.9442005</v>
      </c>
      <c r="U149" s="179"/>
    </row>
    <row r="150" s="122" customFormat="1" ht="17" customHeight="1" spans="1:21">
      <c r="A150" s="215">
        <f>工程量核对表!A116</f>
        <v>10</v>
      </c>
      <c r="B150" s="216" t="str">
        <f>工程量核对表!B116</f>
        <v>人力二次转运材料（500元/t/km,运距0.2km）</v>
      </c>
      <c r="C150" s="158" t="str">
        <f>工程量核对表!C116</f>
        <v>t</v>
      </c>
      <c r="D150" s="217">
        <v>46</v>
      </c>
      <c r="E150" s="217">
        <v>100</v>
      </c>
      <c r="F150" s="217"/>
      <c r="G150" s="217">
        <v>4600</v>
      </c>
      <c r="H150" s="217"/>
      <c r="I150" s="217">
        <v>41</v>
      </c>
      <c r="J150" s="237">
        <v>300</v>
      </c>
      <c r="K150" s="237"/>
      <c r="L150" s="217">
        <v>12300</v>
      </c>
      <c r="M150" s="217"/>
      <c r="N150" s="238"/>
      <c r="O150" s="239"/>
      <c r="P150" s="239"/>
      <c r="Q150" s="224">
        <f ca="1">SUM(Q151:Q155)</f>
        <v>1481.09088193156</v>
      </c>
      <c r="R150" s="253"/>
      <c r="S150" s="239">
        <f ca="1" t="shared" si="45"/>
        <v>-3118.90911806844</v>
      </c>
      <c r="T150" s="238">
        <f ca="1" t="shared" si="46"/>
        <v>-10818.9091180684</v>
      </c>
      <c r="U150" s="179" t="s">
        <v>71</v>
      </c>
    </row>
    <row r="151" s="122" customFormat="1" ht="17" customHeight="1" spans="1:21">
      <c r="A151" s="215"/>
      <c r="B151" s="216" t="s">
        <v>59</v>
      </c>
      <c r="C151" s="158" t="s">
        <v>60</v>
      </c>
      <c r="D151" s="217"/>
      <c r="E151" s="217"/>
      <c r="F151" s="217"/>
      <c r="G151" s="217"/>
      <c r="H151" s="217"/>
      <c r="I151" s="217"/>
      <c r="J151" s="237"/>
      <c r="K151" s="237"/>
      <c r="L151" s="217"/>
      <c r="M151" s="217"/>
      <c r="N151" s="238">
        <f ca="1">二转材料统计!AC28</f>
        <v>3.2236902050907</v>
      </c>
      <c r="O151" s="239">
        <v>52.569</v>
      </c>
      <c r="P151" s="239"/>
      <c r="Q151" s="224">
        <f ca="1" t="shared" ref="Q151:Q156" si="47">N151*O151</f>
        <v>169.466170391413</v>
      </c>
      <c r="R151" s="253"/>
      <c r="S151" s="239"/>
      <c r="T151" s="238"/>
      <c r="U151" s="179"/>
    </row>
    <row r="152" s="122" customFormat="1" ht="17" customHeight="1" spans="1:21">
      <c r="A152" s="215"/>
      <c r="B152" s="216" t="s">
        <v>61</v>
      </c>
      <c r="C152" s="158" t="s">
        <v>62</v>
      </c>
      <c r="D152" s="217"/>
      <c r="E152" s="217"/>
      <c r="F152" s="217"/>
      <c r="G152" s="217"/>
      <c r="H152" s="217"/>
      <c r="I152" s="217"/>
      <c r="J152" s="237"/>
      <c r="K152" s="237"/>
      <c r="L152" s="217"/>
      <c r="M152" s="217"/>
      <c r="N152" s="238">
        <f ca="1">二转材料统计!AD28</f>
        <v>6.0360909153</v>
      </c>
      <c r="O152" s="239">
        <v>68.34</v>
      </c>
      <c r="P152" s="239"/>
      <c r="Q152" s="224">
        <f ca="1" t="shared" si="47"/>
        <v>412.506453151602</v>
      </c>
      <c r="R152" s="253"/>
      <c r="S152" s="239"/>
      <c r="T152" s="238"/>
      <c r="U152" s="179"/>
    </row>
    <row r="153" s="122" customFormat="1" ht="17" customHeight="1" spans="1:21">
      <c r="A153" s="215"/>
      <c r="B153" s="216" t="s">
        <v>63</v>
      </c>
      <c r="C153" s="158" t="s">
        <v>62</v>
      </c>
      <c r="D153" s="217"/>
      <c r="E153" s="217"/>
      <c r="F153" s="217"/>
      <c r="G153" s="217"/>
      <c r="H153" s="217"/>
      <c r="I153" s="217"/>
      <c r="J153" s="237"/>
      <c r="K153" s="237"/>
      <c r="L153" s="217"/>
      <c r="M153" s="217"/>
      <c r="N153" s="238">
        <f ca="1">二转材料统计!AE28</f>
        <v>5.4448365342</v>
      </c>
      <c r="O153" s="239">
        <v>78.858</v>
      </c>
      <c r="P153" s="239"/>
      <c r="Q153" s="224">
        <f ca="1" t="shared" si="47"/>
        <v>429.368919413944</v>
      </c>
      <c r="R153" s="253"/>
      <c r="S153" s="239"/>
      <c r="T153" s="238"/>
      <c r="U153" s="179"/>
    </row>
    <row r="154" s="122" customFormat="1" ht="17" customHeight="1" spans="1:21">
      <c r="A154" s="215"/>
      <c r="B154" s="216" t="s">
        <v>64</v>
      </c>
      <c r="C154" s="158" t="s">
        <v>65</v>
      </c>
      <c r="D154" s="217"/>
      <c r="E154" s="217"/>
      <c r="F154" s="217"/>
      <c r="G154" s="217"/>
      <c r="H154" s="217"/>
      <c r="I154" s="217"/>
      <c r="J154" s="237"/>
      <c r="K154" s="237"/>
      <c r="L154" s="217"/>
      <c r="M154" s="217"/>
      <c r="N154" s="238">
        <f ca="1">二转材料统计!AF28</f>
        <v>3.5333712</v>
      </c>
      <c r="O154" s="239">
        <f>O152*1.854</f>
        <v>126.70236</v>
      </c>
      <c r="P154" s="239"/>
      <c r="Q154" s="224">
        <f ca="1" t="shared" si="47"/>
        <v>447.686469796032</v>
      </c>
      <c r="R154" s="253"/>
      <c r="S154" s="239"/>
      <c r="T154" s="238"/>
      <c r="U154" s="179"/>
    </row>
    <row r="155" s="122" customFormat="1" ht="17" customHeight="1" spans="1:21">
      <c r="A155" s="215"/>
      <c r="B155" s="216" t="s">
        <v>66</v>
      </c>
      <c r="C155" s="158" t="s">
        <v>60</v>
      </c>
      <c r="D155" s="217"/>
      <c r="E155" s="217"/>
      <c r="F155" s="217"/>
      <c r="G155" s="217"/>
      <c r="H155" s="217"/>
      <c r="I155" s="217"/>
      <c r="J155" s="237"/>
      <c r="K155" s="237"/>
      <c r="L155" s="217"/>
      <c r="M155" s="217"/>
      <c r="N155" s="244">
        <f ca="1">N148</f>
        <v>0.41969353</v>
      </c>
      <c r="O155" s="239">
        <f>O151</f>
        <v>52.569</v>
      </c>
      <c r="P155" s="239"/>
      <c r="Q155" s="224">
        <f ca="1" t="shared" si="47"/>
        <v>22.06286917857</v>
      </c>
      <c r="R155" s="253"/>
      <c r="S155" s="239"/>
      <c r="T155" s="238"/>
      <c r="U155" s="179"/>
    </row>
    <row r="156" s="122" customFormat="1" ht="17" customHeight="1" spans="1:21">
      <c r="A156" s="215">
        <f>工程量核对表!A117</f>
        <v>11</v>
      </c>
      <c r="B156" s="216" t="str">
        <f>工程量核对表!B117</f>
        <v>防盗门</v>
      </c>
      <c r="C156" s="158" t="str">
        <f>工程量核对表!C117</f>
        <v>座</v>
      </c>
      <c r="D156" s="217"/>
      <c r="E156" s="217"/>
      <c r="F156" s="217"/>
      <c r="G156" s="217"/>
      <c r="H156" s="217"/>
      <c r="I156" s="217">
        <v>1</v>
      </c>
      <c r="J156" s="237">
        <v>500</v>
      </c>
      <c r="K156" s="237"/>
      <c r="L156" s="217">
        <f>I156*J156</f>
        <v>500</v>
      </c>
      <c r="M156" s="217"/>
      <c r="N156" s="238">
        <v>1</v>
      </c>
      <c r="O156" s="239">
        <v>500</v>
      </c>
      <c r="P156" s="239"/>
      <c r="Q156" s="224">
        <f t="shared" si="47"/>
        <v>500</v>
      </c>
      <c r="R156" s="253"/>
      <c r="S156" s="239">
        <f>Q156-G156</f>
        <v>500</v>
      </c>
      <c r="T156" s="238">
        <f>Q156-L156</f>
        <v>0</v>
      </c>
      <c r="U156" s="179"/>
    </row>
    <row r="157" s="122" customFormat="1" ht="17" customHeight="1" spans="1:21">
      <c r="A157" s="211" t="str">
        <f>工程量核对表!A118</f>
        <v>五</v>
      </c>
      <c r="B157" s="212" t="str">
        <f>工程量核对表!B118</f>
        <v>配水工程</v>
      </c>
      <c r="C157" s="213"/>
      <c r="D157" s="261"/>
      <c r="E157" s="261"/>
      <c r="F157" s="214"/>
      <c r="G157" s="214">
        <v>1773.44</v>
      </c>
      <c r="H157" s="214"/>
      <c r="I157" s="214"/>
      <c r="J157" s="233"/>
      <c r="K157" s="233"/>
      <c r="L157" s="214"/>
      <c r="M157" s="214"/>
      <c r="N157" s="234"/>
      <c r="O157" s="235"/>
      <c r="P157" s="236"/>
      <c r="Q157" s="236">
        <f ca="1" t="shared" ref="Q157:T157" si="48">Q158+Q159</f>
        <v>0</v>
      </c>
      <c r="R157" s="251"/>
      <c r="S157" s="214">
        <f ca="1" t="shared" si="48"/>
        <v>-1773.44</v>
      </c>
      <c r="T157" s="214">
        <f ca="1" t="shared" si="48"/>
        <v>0</v>
      </c>
      <c r="U157" s="252"/>
    </row>
    <row r="158" s="122" customFormat="1" ht="17" customHeight="1" spans="1:21">
      <c r="A158" s="215">
        <f>工程量核对表!A119</f>
        <v>1</v>
      </c>
      <c r="B158" s="216" t="str">
        <f>工程量核对表!B119</f>
        <v>公路混凝土破碎</v>
      </c>
      <c r="C158" s="158">
        <f>工程量核对表!C119</f>
        <v>0</v>
      </c>
      <c r="D158" s="217">
        <v>2</v>
      </c>
      <c r="E158" s="217">
        <v>260.35</v>
      </c>
      <c r="F158" s="217"/>
      <c r="G158" s="217">
        <v>520.7</v>
      </c>
      <c r="H158" s="217"/>
      <c r="I158" s="217"/>
      <c r="J158" s="237"/>
      <c r="K158" s="237"/>
      <c r="L158" s="217"/>
      <c r="M158" s="217"/>
      <c r="N158" s="238">
        <f ca="1">工程量核对表!F119</f>
        <v>0</v>
      </c>
      <c r="O158" s="239">
        <f t="shared" ref="O158:O162" si="49">E158</f>
        <v>260.35</v>
      </c>
      <c r="P158" s="239"/>
      <c r="Q158" s="224">
        <f ca="1">N158*O158</f>
        <v>0</v>
      </c>
      <c r="R158" s="253"/>
      <c r="S158" s="239">
        <f ca="1">Q158-G158</f>
        <v>-520.7</v>
      </c>
      <c r="T158" s="238">
        <f ca="1">Q158-L158</f>
        <v>0</v>
      </c>
      <c r="U158" s="179"/>
    </row>
    <row r="159" s="122" customFormat="1" ht="17" customHeight="1" spans="1:21">
      <c r="A159" s="215">
        <f>工程量核对表!A120</f>
        <v>2</v>
      </c>
      <c r="B159" s="216" t="str">
        <f>工程量核对表!B120</f>
        <v>C25砼路面恢复</v>
      </c>
      <c r="C159" s="158" t="str">
        <f>工程量核对表!C120</f>
        <v>m3</v>
      </c>
      <c r="D159" s="217">
        <v>2</v>
      </c>
      <c r="E159" s="217">
        <v>626.37</v>
      </c>
      <c r="F159" s="258"/>
      <c r="G159" s="217">
        <v>1252.74</v>
      </c>
      <c r="H159" s="258"/>
      <c r="I159" s="258"/>
      <c r="J159" s="265"/>
      <c r="K159" s="265"/>
      <c r="L159" s="258"/>
      <c r="M159" s="258"/>
      <c r="N159" s="238">
        <f ca="1">工程量核对表!F120</f>
        <v>0</v>
      </c>
      <c r="O159" s="239">
        <f t="shared" si="49"/>
        <v>626.37</v>
      </c>
      <c r="P159" s="239"/>
      <c r="Q159" s="224">
        <f ca="1">N159*O159</f>
        <v>0</v>
      </c>
      <c r="R159" s="253"/>
      <c r="S159" s="239">
        <f ca="1">Q159-G159</f>
        <v>-1252.74</v>
      </c>
      <c r="T159" s="238">
        <f ca="1">Q159-L159</f>
        <v>0</v>
      </c>
      <c r="U159" s="176"/>
    </row>
    <row r="160" s="194" customFormat="1" ht="17" customHeight="1" spans="1:21">
      <c r="A160" s="211" t="str">
        <f>工程量核对表!A121</f>
        <v>新增</v>
      </c>
      <c r="B160" s="262" t="str">
        <f>工程量核对表!B121</f>
        <v>沟槽开挖、回填</v>
      </c>
      <c r="C160" s="213"/>
      <c r="D160" s="263"/>
      <c r="E160" s="263"/>
      <c r="F160" s="263"/>
      <c r="G160" s="263"/>
      <c r="H160" s="263"/>
      <c r="I160" s="263"/>
      <c r="J160" s="266"/>
      <c r="K160" s="266"/>
      <c r="L160" s="263">
        <v>220590</v>
      </c>
      <c r="M160" s="263"/>
      <c r="N160" s="263"/>
      <c r="O160" s="267"/>
      <c r="P160" s="267"/>
      <c r="Q160" s="267">
        <f ca="1">SUM(Q161:Q165)</f>
        <v>168242.33729338</v>
      </c>
      <c r="R160" s="271"/>
      <c r="S160" s="263">
        <f ca="1" t="shared" ref="Q160:T160" si="50">SUM(S161:S165)</f>
        <v>168242.33729338</v>
      </c>
      <c r="T160" s="263">
        <f ca="1" t="shared" si="50"/>
        <v>-52347.6627066196</v>
      </c>
      <c r="U160" s="252"/>
    </row>
    <row r="161" s="122" customFormat="1" ht="17" customHeight="1" spans="1:21">
      <c r="A161" s="215">
        <v>1</v>
      </c>
      <c r="B161" s="216" t="str">
        <f>工程量核对表!B122</f>
        <v>土方沟槽开挖、回填</v>
      </c>
      <c r="C161" s="158" t="str">
        <f>工程量核对表!C122</f>
        <v>m</v>
      </c>
      <c r="D161" s="217"/>
      <c r="E161" s="217"/>
      <c r="F161" s="258"/>
      <c r="G161" s="217"/>
      <c r="H161" s="258"/>
      <c r="I161" s="217">
        <v>9466</v>
      </c>
      <c r="J161" s="237">
        <v>15</v>
      </c>
      <c r="K161" s="237"/>
      <c r="L161" s="217">
        <v>141990</v>
      </c>
      <c r="M161" s="258"/>
      <c r="N161" s="238"/>
      <c r="O161" s="239"/>
      <c r="P161" s="239"/>
      <c r="Q161" s="224"/>
      <c r="R161" s="253"/>
      <c r="S161" s="239">
        <f>Q161-G161</f>
        <v>0</v>
      </c>
      <c r="T161" s="238">
        <f>Q161-L161</f>
        <v>-141990</v>
      </c>
      <c r="U161" s="179"/>
    </row>
    <row r="162" s="122" customFormat="1" ht="17" customHeight="1" spans="1:21">
      <c r="A162" s="215">
        <v>2</v>
      </c>
      <c r="B162" s="216" t="str">
        <f>工程量核对表!B123</f>
        <v>石方沟槽开挖、回填</v>
      </c>
      <c r="C162" s="158" t="str">
        <f>工程量核对表!C123</f>
        <v>m</v>
      </c>
      <c r="D162" s="217"/>
      <c r="E162" s="217"/>
      <c r="F162" s="258"/>
      <c r="G162" s="217"/>
      <c r="H162" s="258"/>
      <c r="I162" s="217">
        <v>3930</v>
      </c>
      <c r="J162" s="237">
        <v>20</v>
      </c>
      <c r="K162" s="237"/>
      <c r="L162" s="217">
        <v>78600</v>
      </c>
      <c r="M162" s="268"/>
      <c r="N162" s="238"/>
      <c r="O162" s="239"/>
      <c r="P162" s="239"/>
      <c r="Q162" s="224"/>
      <c r="R162" s="253"/>
      <c r="S162" s="239">
        <f>Q162-G162</f>
        <v>0</v>
      </c>
      <c r="T162" s="238">
        <f>Q162-L162</f>
        <v>-78600</v>
      </c>
      <c r="U162" s="179"/>
    </row>
    <row r="163" s="122" customFormat="1" ht="17" customHeight="1" spans="1:21">
      <c r="A163" s="215">
        <v>3</v>
      </c>
      <c r="B163" s="216" t="str">
        <f>工程量核对表!B124</f>
        <v>土方开挖</v>
      </c>
      <c r="C163" s="158" t="str">
        <f>工程量核对表!C124</f>
        <v>m3</v>
      </c>
      <c r="D163" s="217"/>
      <c r="E163" s="217"/>
      <c r="F163" s="258"/>
      <c r="G163" s="217"/>
      <c r="H163" s="258"/>
      <c r="I163" s="217"/>
      <c r="J163" s="237"/>
      <c r="K163" s="237"/>
      <c r="L163" s="217"/>
      <c r="M163" s="268"/>
      <c r="N163" s="238">
        <f ca="1">工程量核对表!F124</f>
        <v>2499.024</v>
      </c>
      <c r="O163" s="224">
        <v>19.7</v>
      </c>
      <c r="P163" s="239"/>
      <c r="Q163" s="224">
        <f ca="1">N163*O163</f>
        <v>49230.7728</v>
      </c>
      <c r="R163" s="253"/>
      <c r="S163" s="239">
        <f ca="1">Q163-G163</f>
        <v>49230.7728</v>
      </c>
      <c r="T163" s="238">
        <f ca="1">Q163-L163</f>
        <v>49230.7728</v>
      </c>
      <c r="U163" s="179"/>
    </row>
    <row r="164" s="122" customFormat="1" ht="17" customHeight="1" spans="1:21">
      <c r="A164" s="215">
        <v>4</v>
      </c>
      <c r="B164" s="216" t="str">
        <f>工程量核对表!B125</f>
        <v>石方开挖</v>
      </c>
      <c r="C164" s="158" t="str">
        <f>工程量核对表!C125</f>
        <v>m3</v>
      </c>
      <c r="D164" s="217"/>
      <c r="E164" s="217"/>
      <c r="F164" s="258"/>
      <c r="G164" s="217"/>
      <c r="H164" s="258"/>
      <c r="I164" s="217"/>
      <c r="J164" s="237"/>
      <c r="K164" s="237"/>
      <c r="L164" s="217"/>
      <c r="M164" s="268"/>
      <c r="N164" s="238">
        <f ca="1">工程量核对表!F125</f>
        <v>589.5</v>
      </c>
      <c r="O164" s="224">
        <v>57.48</v>
      </c>
      <c r="P164" s="239"/>
      <c r="Q164" s="224">
        <f ca="1">N164*O164</f>
        <v>33884.46</v>
      </c>
      <c r="R164" s="253"/>
      <c r="S164" s="239">
        <f ca="1">Q164-G164</f>
        <v>33884.46</v>
      </c>
      <c r="T164" s="238">
        <f ca="1">Q164-L164</f>
        <v>33884.46</v>
      </c>
      <c r="U164" s="179"/>
    </row>
    <row r="165" s="122" customFormat="1" ht="17" customHeight="1" spans="1:21">
      <c r="A165" s="215">
        <v>5</v>
      </c>
      <c r="B165" s="216" t="str">
        <f>工程量核对表!B126</f>
        <v>土方回填</v>
      </c>
      <c r="C165" s="158" t="str">
        <f>工程量核对表!C126</f>
        <v>m3</v>
      </c>
      <c r="D165" s="217"/>
      <c r="E165" s="217"/>
      <c r="F165" s="258"/>
      <c r="G165" s="217"/>
      <c r="H165" s="258"/>
      <c r="I165" s="217"/>
      <c r="J165" s="237"/>
      <c r="K165" s="237"/>
      <c r="L165" s="217"/>
      <c r="M165" s="258"/>
      <c r="N165" s="238">
        <f ca="1">工程量核对表!F126</f>
        <v>3046.78255166</v>
      </c>
      <c r="O165" s="224">
        <v>27.94</v>
      </c>
      <c r="P165" s="239"/>
      <c r="Q165" s="224">
        <f ca="1">N165*O165</f>
        <v>85127.1044933804</v>
      </c>
      <c r="R165" s="253"/>
      <c r="S165" s="239">
        <f ca="1">Q165-G165</f>
        <v>85127.1044933804</v>
      </c>
      <c r="T165" s="238">
        <f ca="1">Q165-L165</f>
        <v>85127.1044933804</v>
      </c>
      <c r="U165" s="179"/>
    </row>
    <row r="166" s="194" customFormat="1" ht="17" customHeight="1" spans="1:21">
      <c r="A166" s="209"/>
      <c r="B166" s="209" t="str">
        <f>工程量核对表!B127</f>
        <v>第二部分 机电设备安装工程</v>
      </c>
      <c r="C166" s="152"/>
      <c r="D166" s="264"/>
      <c r="E166" s="264"/>
      <c r="F166" s="264"/>
      <c r="G166" s="264">
        <v>583063.64</v>
      </c>
      <c r="H166" s="264">
        <v>125364</v>
      </c>
      <c r="I166" s="264"/>
      <c r="J166" s="269"/>
      <c r="K166" s="269"/>
      <c r="L166" s="264">
        <f>482086.04+L194</f>
        <v>499686.04</v>
      </c>
      <c r="M166" s="264">
        <v>94981.88</v>
      </c>
      <c r="N166" s="264"/>
      <c r="O166" s="270"/>
      <c r="P166" s="270"/>
      <c r="Q166" s="270">
        <f ca="1" t="shared" ref="Q166:T166" si="51">Q167+Q194+Q174+Q179+Q186</f>
        <v>486793.712972973</v>
      </c>
      <c r="R166" s="270">
        <f ca="1" t="shared" si="51"/>
        <v>86685.0662810811</v>
      </c>
      <c r="S166" s="264">
        <f ca="1" t="shared" si="51"/>
        <v>-134948.860745946</v>
      </c>
      <c r="T166" s="264">
        <f ca="1" t="shared" si="51"/>
        <v>-21189.1407459459</v>
      </c>
      <c r="U166" s="178"/>
    </row>
    <row r="167" s="122" customFormat="1" ht="17" customHeight="1" spans="1:21">
      <c r="A167" s="211" t="str">
        <f>工程量核对表!A128</f>
        <v>一</v>
      </c>
      <c r="B167" s="212" t="str">
        <f>工程量核对表!B128</f>
        <v>新增泵房及附属设备</v>
      </c>
      <c r="C167" s="213"/>
      <c r="D167" s="214" t="s">
        <v>15</v>
      </c>
      <c r="E167" s="214"/>
      <c r="F167" s="214"/>
      <c r="G167" s="214">
        <v>96600</v>
      </c>
      <c r="H167" s="214">
        <v>11064</v>
      </c>
      <c r="I167" s="214"/>
      <c r="J167" s="233"/>
      <c r="K167" s="233"/>
      <c r="L167" s="214">
        <v>65780</v>
      </c>
      <c r="M167" s="214">
        <v>3000</v>
      </c>
      <c r="N167" s="234"/>
      <c r="O167" s="235"/>
      <c r="P167" s="236"/>
      <c r="Q167" s="236">
        <f ca="1" t="shared" ref="Q167:T167" si="52">SUM(Q168:Q173)</f>
        <v>82180</v>
      </c>
      <c r="R167" s="236">
        <f ca="1" t="shared" si="52"/>
        <v>10285.532972973</v>
      </c>
      <c r="S167" s="214">
        <f ca="1" t="shared" si="52"/>
        <v>-15198.467027027</v>
      </c>
      <c r="T167" s="214">
        <f ca="1" t="shared" si="52"/>
        <v>23685.532972973</v>
      </c>
      <c r="U167" s="252" t="s">
        <v>72</v>
      </c>
    </row>
    <row r="168" s="122" customFormat="1" ht="17" customHeight="1" spans="1:21">
      <c r="A168" s="215">
        <f>工程量核对表!A129</f>
        <v>1</v>
      </c>
      <c r="B168" s="216" t="str">
        <f>工程量核对表!B129</f>
        <v>DN40热镀锌钢管壁厚3.5</v>
      </c>
      <c r="C168" s="158" t="str">
        <f>工程量核对表!C129</f>
        <v>m</v>
      </c>
      <c r="D168" s="217">
        <v>800</v>
      </c>
      <c r="E168" s="217">
        <v>28</v>
      </c>
      <c r="F168" s="217">
        <v>10.08</v>
      </c>
      <c r="G168" s="217">
        <v>22400</v>
      </c>
      <c r="H168" s="217">
        <v>8064</v>
      </c>
      <c r="I168" s="217"/>
      <c r="J168" s="237"/>
      <c r="K168" s="237"/>
      <c r="L168" s="217"/>
      <c r="M168" s="217"/>
      <c r="N168" s="238">
        <f ca="1">工程量核对表!F129</f>
        <v>800</v>
      </c>
      <c r="O168" s="239">
        <f t="shared" ref="O168:O173" si="53">E168</f>
        <v>28</v>
      </c>
      <c r="P168" s="239">
        <f>F168/1.11*1.0319</f>
        <v>9.37076756756757</v>
      </c>
      <c r="Q168" s="224">
        <f ca="1" t="shared" ref="Q168:Q173" si="54">N168*O168</f>
        <v>22400</v>
      </c>
      <c r="R168" s="224">
        <f ca="1">N168*P168</f>
        <v>7496.61405405406</v>
      </c>
      <c r="S168" s="239">
        <f ca="1" t="shared" ref="S168:S173" si="55">Q168+R168-G168-H168</f>
        <v>-567.385945945942</v>
      </c>
      <c r="T168" s="238">
        <f ca="1" t="shared" ref="T168:T173" si="56">Q168+R168-L168-M168</f>
        <v>29896.6140540541</v>
      </c>
      <c r="U168" s="179"/>
    </row>
    <row r="169" s="122" customFormat="1" ht="17" customHeight="1" spans="1:21">
      <c r="A169" s="215">
        <f>工程量核对表!A130</f>
        <v>2</v>
      </c>
      <c r="B169" s="216" t="str">
        <f>工程量核对表!B130</f>
        <v>离心泵及电机，启动柜等</v>
      </c>
      <c r="C169" s="158" t="str">
        <f>工程量核对表!C130</f>
        <v>套</v>
      </c>
      <c r="D169" s="217">
        <v>2</v>
      </c>
      <c r="E169" s="217">
        <v>15000</v>
      </c>
      <c r="F169" s="217">
        <v>1500</v>
      </c>
      <c r="G169" s="217">
        <v>30000</v>
      </c>
      <c r="H169" s="217">
        <v>3000</v>
      </c>
      <c r="I169" s="217">
        <v>2</v>
      </c>
      <c r="J169" s="217">
        <v>15000</v>
      </c>
      <c r="K169" s="217">
        <v>1500</v>
      </c>
      <c r="L169" s="217">
        <v>30000</v>
      </c>
      <c r="M169" s="217">
        <v>3000</v>
      </c>
      <c r="N169" s="238">
        <f ca="1">工程量核对表!F130</f>
        <v>2</v>
      </c>
      <c r="O169" s="239">
        <f t="shared" si="53"/>
        <v>15000</v>
      </c>
      <c r="P169" s="239">
        <f>F169/1.11*1.0319</f>
        <v>1394.45945945946</v>
      </c>
      <c r="Q169" s="224">
        <f ca="1" t="shared" si="54"/>
        <v>30000</v>
      </c>
      <c r="R169" s="224">
        <f ca="1">N169*P169</f>
        <v>2788.91891891892</v>
      </c>
      <c r="S169" s="239">
        <f ca="1" t="shared" si="55"/>
        <v>-211.08108108108</v>
      </c>
      <c r="T169" s="238">
        <f ca="1" t="shared" si="56"/>
        <v>-211.08108108108</v>
      </c>
      <c r="U169" s="179"/>
    </row>
    <row r="170" s="122" customFormat="1" ht="17" customHeight="1" spans="1:21">
      <c r="A170" s="215">
        <f>工程量核对表!A131</f>
        <v>3</v>
      </c>
      <c r="B170" s="216" t="str">
        <f>工程量核对表!B131</f>
        <v>新增两口池子的紫外线杀毒灯</v>
      </c>
      <c r="C170" s="158" t="str">
        <f>工程量核对表!C131</f>
        <v>个</v>
      </c>
      <c r="D170" s="217">
        <v>2</v>
      </c>
      <c r="E170" s="217">
        <v>6000</v>
      </c>
      <c r="F170" s="217"/>
      <c r="G170" s="217">
        <v>12000</v>
      </c>
      <c r="H170" s="217"/>
      <c r="I170" s="217">
        <v>1</v>
      </c>
      <c r="J170" s="217">
        <v>6000</v>
      </c>
      <c r="K170" s="217"/>
      <c r="L170" s="217">
        <v>6000</v>
      </c>
      <c r="M170" s="217"/>
      <c r="N170" s="238">
        <f ca="1">工程量核对表!F131</f>
        <v>1</v>
      </c>
      <c r="O170" s="239">
        <f t="shared" si="53"/>
        <v>6000</v>
      </c>
      <c r="P170" s="239"/>
      <c r="Q170" s="224">
        <f ca="1" t="shared" si="54"/>
        <v>6000</v>
      </c>
      <c r="R170" s="224"/>
      <c r="S170" s="239">
        <f ca="1" t="shared" si="55"/>
        <v>-6000</v>
      </c>
      <c r="T170" s="238">
        <f ca="1" t="shared" si="56"/>
        <v>0</v>
      </c>
      <c r="U170" s="179"/>
    </row>
    <row r="171" s="122" customFormat="1" ht="17" customHeight="1" spans="1:21">
      <c r="A171" s="215">
        <f>工程量核对表!A132</f>
        <v>4</v>
      </c>
      <c r="B171" s="216" t="str">
        <f>工程量核对表!B132</f>
        <v>220V供电线路</v>
      </c>
      <c r="C171" s="158" t="str">
        <f>工程量核对表!C132</f>
        <v>m</v>
      </c>
      <c r="D171" s="217">
        <v>400</v>
      </c>
      <c r="E171" s="217">
        <v>18</v>
      </c>
      <c r="F171" s="217"/>
      <c r="G171" s="217">
        <v>7200</v>
      </c>
      <c r="H171" s="217"/>
      <c r="I171" s="217">
        <v>210</v>
      </c>
      <c r="J171" s="217">
        <v>18</v>
      </c>
      <c r="K171" s="217"/>
      <c r="L171" s="217">
        <v>3780</v>
      </c>
      <c r="M171" s="217"/>
      <c r="N171" s="238">
        <f ca="1">工程量核对表!F132</f>
        <v>210</v>
      </c>
      <c r="O171" s="239">
        <f t="shared" si="53"/>
        <v>18</v>
      </c>
      <c r="P171" s="239"/>
      <c r="Q171" s="224">
        <f ca="1" t="shared" si="54"/>
        <v>3780</v>
      </c>
      <c r="R171" s="224"/>
      <c r="S171" s="239">
        <f ca="1" t="shared" si="55"/>
        <v>-3420</v>
      </c>
      <c r="T171" s="238">
        <f ca="1" t="shared" si="56"/>
        <v>0</v>
      </c>
      <c r="U171" s="179"/>
    </row>
    <row r="172" s="122" customFormat="1" ht="17" customHeight="1" spans="1:21">
      <c r="A172" s="215">
        <f>工程量核对表!A133</f>
        <v>5</v>
      </c>
      <c r="B172" s="216" t="str">
        <f>工程量核对表!B133</f>
        <v>380V供电线路</v>
      </c>
      <c r="C172" s="158" t="str">
        <f>工程量核对表!C133</f>
        <v>m</v>
      </c>
      <c r="D172" s="217">
        <v>300</v>
      </c>
      <c r="E172" s="217">
        <v>60</v>
      </c>
      <c r="F172" s="217"/>
      <c r="G172" s="217">
        <v>18000</v>
      </c>
      <c r="H172" s="217"/>
      <c r="I172" s="217">
        <v>300</v>
      </c>
      <c r="J172" s="217">
        <v>60</v>
      </c>
      <c r="K172" s="217"/>
      <c r="L172" s="217">
        <v>18000</v>
      </c>
      <c r="M172" s="217"/>
      <c r="N172" s="238">
        <f ca="1">工程量核对表!F133</f>
        <v>300</v>
      </c>
      <c r="O172" s="239">
        <f t="shared" si="53"/>
        <v>60</v>
      </c>
      <c r="P172" s="239"/>
      <c r="Q172" s="224">
        <f ca="1" t="shared" si="54"/>
        <v>18000</v>
      </c>
      <c r="R172" s="224"/>
      <c r="S172" s="239">
        <f ca="1" t="shared" si="55"/>
        <v>0</v>
      </c>
      <c r="T172" s="238">
        <f ca="1" t="shared" si="56"/>
        <v>0</v>
      </c>
      <c r="U172" s="179"/>
    </row>
    <row r="173" s="122" customFormat="1" ht="17" customHeight="1" spans="1:21">
      <c r="A173" s="215">
        <f>工程量核对表!A134</f>
        <v>6</v>
      </c>
      <c r="B173" s="216" t="str">
        <f>工程量核对表!B134</f>
        <v>电杆架设</v>
      </c>
      <c r="C173" s="158" t="str">
        <f>工程量核对表!C134</f>
        <v>根</v>
      </c>
      <c r="D173" s="217">
        <v>7</v>
      </c>
      <c r="E173" s="217">
        <v>1000</v>
      </c>
      <c r="F173" s="217"/>
      <c r="G173" s="217">
        <v>7000</v>
      </c>
      <c r="H173" s="217"/>
      <c r="I173" s="217">
        <v>8</v>
      </c>
      <c r="J173" s="217">
        <v>1000</v>
      </c>
      <c r="K173" s="217"/>
      <c r="L173" s="217">
        <v>8000</v>
      </c>
      <c r="M173" s="217"/>
      <c r="N173" s="238">
        <f ca="1">工程量核对表!F134</f>
        <v>2</v>
      </c>
      <c r="O173" s="239">
        <f t="shared" si="53"/>
        <v>1000</v>
      </c>
      <c r="P173" s="239"/>
      <c r="Q173" s="224">
        <f ca="1" t="shared" si="54"/>
        <v>2000</v>
      </c>
      <c r="R173" s="224"/>
      <c r="S173" s="239">
        <f ca="1" t="shared" si="55"/>
        <v>-5000</v>
      </c>
      <c r="T173" s="238">
        <f ca="1" t="shared" si="56"/>
        <v>-6000</v>
      </c>
      <c r="U173" s="179"/>
    </row>
    <row r="174" s="122" customFormat="1" ht="17" customHeight="1" spans="1:21">
      <c r="A174" s="211" t="str">
        <f>工程量核对表!A135</f>
        <v>二 </v>
      </c>
      <c r="B174" s="212" t="str">
        <f>工程量核对表!B135</f>
        <v>输水工程</v>
      </c>
      <c r="C174" s="213"/>
      <c r="D174" s="214"/>
      <c r="E174" s="214"/>
      <c r="F174" s="214"/>
      <c r="G174" s="214">
        <v>110750</v>
      </c>
      <c r="H174" s="214">
        <v>36750</v>
      </c>
      <c r="I174" s="214"/>
      <c r="J174" s="233"/>
      <c r="K174" s="233"/>
      <c r="L174" s="214">
        <v>152750</v>
      </c>
      <c r="M174" s="214">
        <v>46550</v>
      </c>
      <c r="N174" s="234"/>
      <c r="O174" s="235"/>
      <c r="P174" s="236"/>
      <c r="Q174" s="236">
        <f ca="1" t="shared" ref="Q174:T174" si="57">SUM(Q175:Q178)</f>
        <v>124750</v>
      </c>
      <c r="R174" s="236">
        <f ca="1" t="shared" si="57"/>
        <v>34164.2567567568</v>
      </c>
      <c r="S174" s="214">
        <f ca="1" t="shared" si="57"/>
        <v>11414.2567567568</v>
      </c>
      <c r="T174" s="214">
        <f ca="1" t="shared" si="57"/>
        <v>-40385.7432432432</v>
      </c>
      <c r="U174" s="252" t="s">
        <v>72</v>
      </c>
    </row>
    <row r="175" s="122" customFormat="1" ht="17" customHeight="1" spans="1:21">
      <c r="A175" s="215">
        <f>工程量核对表!A136</f>
        <v>1</v>
      </c>
      <c r="B175" s="216" t="str">
        <f>工程量核对表!B136</f>
        <v>DN50热镀锌钢管壁厚3.5</v>
      </c>
      <c r="C175" s="158" t="str">
        <f>工程量核对表!C136</f>
        <v>m</v>
      </c>
      <c r="D175" s="217">
        <v>3000</v>
      </c>
      <c r="E175" s="217">
        <v>35</v>
      </c>
      <c r="F175" s="217">
        <v>12.25</v>
      </c>
      <c r="G175" s="217">
        <v>105000</v>
      </c>
      <c r="H175" s="217">
        <v>36750</v>
      </c>
      <c r="I175" s="217">
        <v>3800</v>
      </c>
      <c r="J175" s="217">
        <v>35</v>
      </c>
      <c r="K175" s="217">
        <v>12.25</v>
      </c>
      <c r="L175" s="217">
        <v>133000</v>
      </c>
      <c r="M175" s="217">
        <v>46550</v>
      </c>
      <c r="N175" s="238">
        <f ca="1">工程量核对表!F136</f>
        <v>3000</v>
      </c>
      <c r="O175" s="239">
        <f>E175</f>
        <v>35</v>
      </c>
      <c r="P175" s="239">
        <f>F175/1.11*1.0319</f>
        <v>11.3880855855856</v>
      </c>
      <c r="Q175" s="224">
        <f ca="1">N175*O175</f>
        <v>105000</v>
      </c>
      <c r="R175" s="224">
        <f ca="1">N175*P175</f>
        <v>34164.2567567568</v>
      </c>
      <c r="S175" s="239">
        <f ca="1">Q175+R175-G175-H175</f>
        <v>-2585.7432432432</v>
      </c>
      <c r="T175" s="238">
        <f ca="1">Q175+R175-L175-M175</f>
        <v>-40385.7432432432</v>
      </c>
      <c r="U175" s="179"/>
    </row>
    <row r="176" s="122" customFormat="1" ht="17" customHeight="1" spans="1:21">
      <c r="A176" s="215">
        <f>工程量核对表!A137</f>
        <v>2</v>
      </c>
      <c r="B176" s="216" t="str">
        <f>工程量核对表!B137</f>
        <v>下村主管高压闸阀、高压水表</v>
      </c>
      <c r="C176" s="158" t="str">
        <f>工程量核对表!C137</f>
        <v>套</v>
      </c>
      <c r="D176" s="217">
        <v>1</v>
      </c>
      <c r="E176" s="217">
        <v>5000</v>
      </c>
      <c r="F176" s="217"/>
      <c r="G176" s="217">
        <v>5000</v>
      </c>
      <c r="H176" s="217"/>
      <c r="I176" s="217">
        <v>3</v>
      </c>
      <c r="J176" s="217">
        <v>5000</v>
      </c>
      <c r="K176" s="217"/>
      <c r="L176" s="217">
        <v>15000</v>
      </c>
      <c r="M176" s="217"/>
      <c r="N176" s="238">
        <f ca="1">工程量核对表!F137</f>
        <v>3</v>
      </c>
      <c r="O176" s="239">
        <f>E176</f>
        <v>5000</v>
      </c>
      <c r="P176" s="239"/>
      <c r="Q176" s="224">
        <f ca="1">N176*O176</f>
        <v>15000</v>
      </c>
      <c r="R176" s="224"/>
      <c r="S176" s="239">
        <f ca="1">Q176+R176-G176-H176</f>
        <v>10000</v>
      </c>
      <c r="T176" s="238">
        <f ca="1">Q176+R176-L176-M176</f>
        <v>0</v>
      </c>
      <c r="U176" s="179"/>
    </row>
    <row r="177" s="122" customFormat="1" ht="17" customHeight="1" spans="1:21">
      <c r="A177" s="215">
        <f>工程量核对表!A138</f>
        <v>3</v>
      </c>
      <c r="B177" s="216" t="str">
        <f>工程量核对表!B138</f>
        <v>减压阀</v>
      </c>
      <c r="C177" s="158" t="str">
        <f>工程量核对表!C138</f>
        <v>个</v>
      </c>
      <c r="D177" s="217">
        <v>1</v>
      </c>
      <c r="E177" s="217">
        <v>750</v>
      </c>
      <c r="F177" s="217"/>
      <c r="G177" s="217">
        <v>750</v>
      </c>
      <c r="H177" s="217"/>
      <c r="I177" s="217">
        <v>3</v>
      </c>
      <c r="J177" s="217">
        <v>750</v>
      </c>
      <c r="K177" s="217"/>
      <c r="L177" s="217">
        <v>2250</v>
      </c>
      <c r="M177" s="217"/>
      <c r="N177" s="238">
        <f ca="1">工程量核对表!F138</f>
        <v>3</v>
      </c>
      <c r="O177" s="239">
        <f>E177</f>
        <v>750</v>
      </c>
      <c r="P177" s="239"/>
      <c r="Q177" s="224">
        <f ca="1">N177*O177</f>
        <v>2250</v>
      </c>
      <c r="R177" s="224"/>
      <c r="S177" s="239">
        <f ca="1">Q177+R177-G177-H177</f>
        <v>1500</v>
      </c>
      <c r="T177" s="238">
        <f ca="1">Q177+R177-L177-M177</f>
        <v>0</v>
      </c>
      <c r="U177" s="179"/>
    </row>
    <row r="178" s="122" customFormat="1" ht="17" customHeight="1" spans="1:21">
      <c r="A178" s="215" t="str">
        <f>工程量核对表!A139</f>
        <v>增</v>
      </c>
      <c r="B178" s="216" t="str">
        <f>工程量核对表!B139</f>
        <v>自吸泵（潜水泵）</v>
      </c>
      <c r="C178" s="158" t="str">
        <f>工程量核对表!C139</f>
        <v>台</v>
      </c>
      <c r="D178" s="217"/>
      <c r="E178" s="217"/>
      <c r="F178" s="217"/>
      <c r="G178" s="217"/>
      <c r="H178" s="217"/>
      <c r="I178" s="217">
        <v>1</v>
      </c>
      <c r="J178" s="237">
        <v>2500</v>
      </c>
      <c r="K178" s="237"/>
      <c r="L178" s="217">
        <v>2500</v>
      </c>
      <c r="M178" s="217"/>
      <c r="N178" s="238">
        <f ca="1">工程量核对表!F139</f>
        <v>1</v>
      </c>
      <c r="O178" s="239">
        <f>J178</f>
        <v>2500</v>
      </c>
      <c r="P178" s="239"/>
      <c r="Q178" s="224">
        <f ca="1">N178*O178</f>
        <v>2500</v>
      </c>
      <c r="R178" s="224"/>
      <c r="S178" s="239">
        <f ca="1">Q178+R178-G178-H178</f>
        <v>2500</v>
      </c>
      <c r="T178" s="238">
        <f ca="1">Q178+R178-L178-M178</f>
        <v>0</v>
      </c>
      <c r="U178" s="179"/>
    </row>
    <row r="179" s="122" customFormat="1" ht="17" customHeight="1" spans="1:21">
      <c r="A179" s="211" t="str">
        <f>工程量核对表!A140</f>
        <v>三</v>
      </c>
      <c r="B179" s="212" t="str">
        <f>工程量核对表!B140</f>
        <v>净水工程</v>
      </c>
      <c r="C179" s="213"/>
      <c r="D179" s="214"/>
      <c r="E179" s="214"/>
      <c r="F179" s="214"/>
      <c r="G179" s="214">
        <v>30350</v>
      </c>
      <c r="H179" s="214"/>
      <c r="I179" s="214"/>
      <c r="J179" s="233"/>
      <c r="K179" s="233"/>
      <c r="L179" s="214">
        <v>66830</v>
      </c>
      <c r="M179" s="214"/>
      <c r="N179" s="234"/>
      <c r="O179" s="235"/>
      <c r="P179" s="236"/>
      <c r="Q179" s="236">
        <f ca="1" t="shared" ref="Q179:T179" si="58">SUM(Q180:Q185)</f>
        <v>66776.0153153153</v>
      </c>
      <c r="R179" s="236"/>
      <c r="S179" s="214">
        <f ca="1" t="shared" si="58"/>
        <v>36426.0153153153</v>
      </c>
      <c r="T179" s="214">
        <f ca="1" t="shared" si="58"/>
        <v>-53.9846846847022</v>
      </c>
      <c r="U179" s="252" t="s">
        <v>73</v>
      </c>
    </row>
    <row r="180" s="122" customFormat="1" ht="17" customHeight="1" spans="1:21">
      <c r="A180" s="215">
        <f>工程量核对表!A141</f>
        <v>1</v>
      </c>
      <c r="B180" s="216" t="str">
        <f>工程量核对表!B141</f>
        <v>浮球阀</v>
      </c>
      <c r="C180" s="158" t="str">
        <f>工程量核对表!C141</f>
        <v>个</v>
      </c>
      <c r="D180" s="217">
        <v>1</v>
      </c>
      <c r="E180" s="217">
        <v>750</v>
      </c>
      <c r="F180" s="217"/>
      <c r="G180" s="217">
        <v>750</v>
      </c>
      <c r="H180" s="217"/>
      <c r="I180" s="217">
        <v>1</v>
      </c>
      <c r="J180" s="217">
        <v>750</v>
      </c>
      <c r="K180" s="237"/>
      <c r="L180" s="217">
        <v>750</v>
      </c>
      <c r="M180" s="217"/>
      <c r="N180" s="238">
        <f ca="1">工程量核对表!F141</f>
        <v>1</v>
      </c>
      <c r="O180" s="239">
        <f t="shared" ref="O180:O185" si="59">E180/1.11*1.0319</f>
        <v>697.22972972973</v>
      </c>
      <c r="P180" s="239"/>
      <c r="Q180" s="224">
        <f ca="1" t="shared" ref="Q180:Q185" si="60">N180*O180</f>
        <v>697.22972972973</v>
      </c>
      <c r="R180" s="224"/>
      <c r="S180" s="239">
        <f ca="1" t="shared" ref="S180:S185" si="61">Q180+R180-G180-H180</f>
        <v>-52.77027027027</v>
      </c>
      <c r="T180" s="238">
        <f ca="1" t="shared" ref="T180:T185" si="62">Q180+R180-L180-M180</f>
        <v>-52.77027027027</v>
      </c>
      <c r="U180" s="179"/>
    </row>
    <row r="181" s="122" customFormat="1" ht="17" customHeight="1" spans="1:21">
      <c r="A181" s="215">
        <f>工程量核对表!A142</f>
        <v>2</v>
      </c>
      <c r="B181" s="216" t="str">
        <f>工程量核对表!B142</f>
        <v>紫外线杀毒灯</v>
      </c>
      <c r="C181" s="158" t="str">
        <f>工程量核对表!C142</f>
        <v>个</v>
      </c>
      <c r="D181" s="217">
        <v>2</v>
      </c>
      <c r="E181" s="217">
        <v>8000</v>
      </c>
      <c r="F181" s="217"/>
      <c r="G181" s="217">
        <v>16000</v>
      </c>
      <c r="H181" s="217"/>
      <c r="I181" s="217">
        <v>2</v>
      </c>
      <c r="J181" s="217">
        <v>8000</v>
      </c>
      <c r="K181" s="237"/>
      <c r="L181" s="217">
        <v>16000</v>
      </c>
      <c r="M181" s="217"/>
      <c r="N181" s="238">
        <f ca="1">工程量核对表!F142</f>
        <v>2</v>
      </c>
      <c r="O181" s="239">
        <f t="shared" si="59"/>
        <v>7437.11711711712</v>
      </c>
      <c r="P181" s="224"/>
      <c r="Q181" s="224">
        <f ca="1" t="shared" si="60"/>
        <v>14874.2342342342</v>
      </c>
      <c r="R181" s="224"/>
      <c r="S181" s="239">
        <f ca="1" t="shared" si="61"/>
        <v>-1125.76576576576</v>
      </c>
      <c r="T181" s="238">
        <f ca="1" t="shared" si="62"/>
        <v>-1125.76576576576</v>
      </c>
      <c r="U181" s="179"/>
    </row>
    <row r="182" s="122" customFormat="1" ht="17" customHeight="1" spans="1:21">
      <c r="A182" s="215">
        <f>工程量核对表!A143</f>
        <v>3</v>
      </c>
      <c r="B182" s="216" t="str">
        <f>工程量核对表!B143</f>
        <v>电表</v>
      </c>
      <c r="C182" s="158" t="str">
        <f>工程量核对表!C143</f>
        <v>支</v>
      </c>
      <c r="D182" s="217">
        <v>2</v>
      </c>
      <c r="E182" s="217">
        <v>3000</v>
      </c>
      <c r="F182" s="217"/>
      <c r="G182" s="217">
        <v>6000</v>
      </c>
      <c r="H182" s="217"/>
      <c r="I182" s="217">
        <v>2</v>
      </c>
      <c r="J182" s="217">
        <v>3000</v>
      </c>
      <c r="K182" s="237"/>
      <c r="L182" s="217">
        <v>6000</v>
      </c>
      <c r="M182" s="217"/>
      <c r="N182" s="238">
        <f ca="1">工程量核对表!F143</f>
        <v>2</v>
      </c>
      <c r="O182" s="239">
        <f t="shared" si="59"/>
        <v>2788.91891891892</v>
      </c>
      <c r="P182" s="239"/>
      <c r="Q182" s="224">
        <f ca="1" t="shared" si="60"/>
        <v>5577.83783783784</v>
      </c>
      <c r="R182" s="224"/>
      <c r="S182" s="239">
        <f ca="1" t="shared" si="61"/>
        <v>-422.16216216216</v>
      </c>
      <c r="T182" s="238">
        <f ca="1" t="shared" si="62"/>
        <v>-422.16216216216</v>
      </c>
      <c r="U182" s="179"/>
    </row>
    <row r="183" s="122" customFormat="1" ht="17" customHeight="1" spans="1:21">
      <c r="A183" s="215">
        <f>工程量核对表!A144</f>
        <v>4</v>
      </c>
      <c r="B183" s="216" t="str">
        <f>工程量核对表!B144</f>
        <v>水表</v>
      </c>
      <c r="C183" s="158" t="str">
        <f>工程量核对表!C144</f>
        <v>支</v>
      </c>
      <c r="D183" s="217">
        <v>2</v>
      </c>
      <c r="E183" s="217">
        <v>1000</v>
      </c>
      <c r="F183" s="217"/>
      <c r="G183" s="217">
        <v>2000</v>
      </c>
      <c r="H183" s="217"/>
      <c r="I183" s="217">
        <v>2</v>
      </c>
      <c r="J183" s="217">
        <v>1000</v>
      </c>
      <c r="K183" s="237"/>
      <c r="L183" s="217">
        <v>2000</v>
      </c>
      <c r="M183" s="217"/>
      <c r="N183" s="238">
        <f ca="1">工程量核对表!F144</f>
        <v>2</v>
      </c>
      <c r="O183" s="239">
        <f t="shared" si="59"/>
        <v>929.63963963964</v>
      </c>
      <c r="P183" s="239"/>
      <c r="Q183" s="224">
        <f ca="1" t="shared" si="60"/>
        <v>1859.27927927928</v>
      </c>
      <c r="R183" s="224"/>
      <c r="S183" s="239">
        <f ca="1" t="shared" si="61"/>
        <v>-140.72072072072</v>
      </c>
      <c r="T183" s="238">
        <f ca="1" t="shared" si="62"/>
        <v>-140.72072072072</v>
      </c>
      <c r="U183" s="179"/>
    </row>
    <row r="184" s="122" customFormat="1" ht="17" customHeight="1" spans="1:21">
      <c r="A184" s="215">
        <f>工程量核对表!A145</f>
        <v>5</v>
      </c>
      <c r="B184" s="216" t="str">
        <f>工程量核对表!B145</f>
        <v>220V供电线路</v>
      </c>
      <c r="C184" s="158" t="str">
        <f>工程量核对表!C145</f>
        <v>m</v>
      </c>
      <c r="D184" s="217">
        <v>200</v>
      </c>
      <c r="E184" s="217">
        <v>18</v>
      </c>
      <c r="F184" s="217"/>
      <c r="G184" s="217">
        <v>3600</v>
      </c>
      <c r="H184" s="217"/>
      <c r="I184" s="217">
        <v>2060</v>
      </c>
      <c r="J184" s="217">
        <v>18</v>
      </c>
      <c r="K184" s="237"/>
      <c r="L184" s="217">
        <v>37080</v>
      </c>
      <c r="M184" s="217"/>
      <c r="N184" s="238">
        <f ca="1">工程量核对表!F145</f>
        <v>2060</v>
      </c>
      <c r="O184" s="239">
        <f t="shared" si="59"/>
        <v>16.7335135135135</v>
      </c>
      <c r="P184" s="239"/>
      <c r="Q184" s="224">
        <f ca="1" t="shared" si="60"/>
        <v>34471.0378378378</v>
      </c>
      <c r="R184" s="224"/>
      <c r="S184" s="239">
        <f ca="1" t="shared" si="61"/>
        <v>30871.0378378378</v>
      </c>
      <c r="T184" s="238">
        <f ca="1" t="shared" si="62"/>
        <v>-2608.96216216219</v>
      </c>
      <c r="U184" s="179"/>
    </row>
    <row r="185" s="122" customFormat="1" ht="17" customHeight="1" spans="1:21">
      <c r="A185" s="215">
        <f>工程量核对表!A146</f>
        <v>6</v>
      </c>
      <c r="B185" s="216" t="str">
        <f>工程量核对表!B146</f>
        <v>电杆架设</v>
      </c>
      <c r="C185" s="158" t="str">
        <f>工程量核对表!C146</f>
        <v>根</v>
      </c>
      <c r="D185" s="217">
        <v>2</v>
      </c>
      <c r="E185" s="217">
        <v>1000</v>
      </c>
      <c r="F185" s="217"/>
      <c r="G185" s="217">
        <v>2000</v>
      </c>
      <c r="H185" s="217"/>
      <c r="I185" s="217">
        <v>5</v>
      </c>
      <c r="J185" s="217">
        <v>1000</v>
      </c>
      <c r="K185" s="237"/>
      <c r="L185" s="217">
        <v>5000</v>
      </c>
      <c r="M185" s="217"/>
      <c r="N185" s="238">
        <f ca="1">工程量核对表!F146</f>
        <v>10</v>
      </c>
      <c r="O185" s="239">
        <f t="shared" si="59"/>
        <v>929.63963963964</v>
      </c>
      <c r="P185" s="239"/>
      <c r="Q185" s="224">
        <f ca="1" t="shared" si="60"/>
        <v>9296.3963963964</v>
      </c>
      <c r="R185" s="224"/>
      <c r="S185" s="239">
        <f ca="1" t="shared" si="61"/>
        <v>7296.3963963964</v>
      </c>
      <c r="T185" s="238">
        <f ca="1" t="shared" si="62"/>
        <v>4296.3963963964</v>
      </c>
      <c r="U185" s="179"/>
    </row>
    <row r="186" s="122" customFormat="1" customHeight="1" spans="1:21">
      <c r="A186" s="211" t="str">
        <f>工程量核对表!A147</f>
        <v>四</v>
      </c>
      <c r="B186" s="212" t="str">
        <f>工程量核对表!B147</f>
        <v>配水工程</v>
      </c>
      <c r="C186" s="213"/>
      <c r="D186" s="214"/>
      <c r="E186" s="214"/>
      <c r="F186" s="214"/>
      <c r="G186" s="214">
        <v>345363.64</v>
      </c>
      <c r="H186" s="214">
        <v>77550</v>
      </c>
      <c r="I186" s="214"/>
      <c r="J186" s="233"/>
      <c r="K186" s="233"/>
      <c r="L186" s="214">
        <v>196726.04</v>
      </c>
      <c r="M186" s="214">
        <v>45431.88</v>
      </c>
      <c r="N186" s="234"/>
      <c r="O186" s="235"/>
      <c r="P186" s="236"/>
      <c r="Q186" s="236">
        <f ca="1">SUM(Q187:Q193)</f>
        <v>196726.04</v>
      </c>
      <c r="R186" s="236">
        <f ca="1" t="shared" ref="Q186:T186" si="63">SUM(R187:R193)</f>
        <v>42235.2765513513</v>
      </c>
      <c r="S186" s="214">
        <f ca="1" t="shared" si="63"/>
        <v>-183952.323448649</v>
      </c>
      <c r="T186" s="214">
        <f ca="1" t="shared" si="63"/>
        <v>-3196.60344864867</v>
      </c>
      <c r="U186" s="252" t="s">
        <v>73</v>
      </c>
    </row>
    <row r="187" s="122" customFormat="1" ht="17" customHeight="1" spans="1:21">
      <c r="A187" s="215">
        <f>工程量核对表!A148</f>
        <v>1</v>
      </c>
      <c r="B187" s="216" t="str">
        <f>工程量核对表!B148</f>
        <v>dn63（1.6MPa壁厚5.8）PE管</v>
      </c>
      <c r="C187" s="158" t="str">
        <f>工程量核对表!C148</f>
        <v>m</v>
      </c>
      <c r="D187" s="217">
        <v>2000</v>
      </c>
      <c r="E187" s="217">
        <v>25.17</v>
      </c>
      <c r="F187" s="217">
        <v>5.03</v>
      </c>
      <c r="G187" s="217">
        <v>50340</v>
      </c>
      <c r="H187" s="217">
        <v>10060</v>
      </c>
      <c r="I187" s="217">
        <v>996</v>
      </c>
      <c r="J187" s="217">
        <v>25.17</v>
      </c>
      <c r="K187" s="217">
        <v>5.03</v>
      </c>
      <c r="L187" s="217">
        <v>25069.32</v>
      </c>
      <c r="M187" s="217">
        <v>5009.88</v>
      </c>
      <c r="N187" s="238">
        <f ca="1">工程量核对表!F148</f>
        <v>996</v>
      </c>
      <c r="O187" s="239">
        <f>E187</f>
        <v>25.17</v>
      </c>
      <c r="P187" s="239">
        <f t="shared" ref="P187:P192" si="64">F187/1.11*1.0319</f>
        <v>4.67608738738739</v>
      </c>
      <c r="Q187" s="224">
        <f ca="1" t="shared" ref="Q187:Q192" si="65">N187*O187</f>
        <v>25069.32</v>
      </c>
      <c r="R187" s="224">
        <f ca="1" t="shared" ref="R187:R193" si="66">N187*P187</f>
        <v>4657.38303783784</v>
      </c>
      <c r="S187" s="239">
        <f ca="1" t="shared" ref="S187:S193" si="67">Q187+R187-G187-H187</f>
        <v>-30673.2969621622</v>
      </c>
      <c r="T187" s="238">
        <f ca="1" t="shared" ref="T187:T193" si="68">Q187+R187-L187-M187</f>
        <v>-352.496962162156</v>
      </c>
      <c r="U187" s="179"/>
    </row>
    <row r="188" s="122" customFormat="1" ht="17" customHeight="1" spans="1:21">
      <c r="A188" s="215">
        <f>工程量核对表!A149</f>
        <v>2</v>
      </c>
      <c r="B188" s="216" t="str">
        <f>工程量核对表!B149</f>
        <v>dn50（1.6MPa壁厚4.6）PE管</v>
      </c>
      <c r="C188" s="158" t="str">
        <f>工程量核对表!C149</f>
        <v>m</v>
      </c>
      <c r="D188" s="217">
        <v>6000</v>
      </c>
      <c r="E188" s="217">
        <v>15.7</v>
      </c>
      <c r="F188" s="217">
        <v>3.14</v>
      </c>
      <c r="G188" s="217">
        <v>94200</v>
      </c>
      <c r="H188" s="217">
        <v>18840</v>
      </c>
      <c r="I188" s="217">
        <v>3000</v>
      </c>
      <c r="J188" s="217">
        <v>15.7</v>
      </c>
      <c r="K188" s="217">
        <v>3.14</v>
      </c>
      <c r="L188" s="217">
        <v>47100</v>
      </c>
      <c r="M188" s="217">
        <v>9420</v>
      </c>
      <c r="N188" s="238">
        <f ca="1">工程量核对表!F149</f>
        <v>3000</v>
      </c>
      <c r="O188" s="239">
        <f t="shared" ref="O187:O192" si="69">E188</f>
        <v>15.7</v>
      </c>
      <c r="P188" s="239">
        <f t="shared" si="64"/>
        <v>2.91906846846847</v>
      </c>
      <c r="Q188" s="224">
        <f ca="1" t="shared" si="65"/>
        <v>47100</v>
      </c>
      <c r="R188" s="224">
        <f ca="1" t="shared" si="66"/>
        <v>8757.20540540541</v>
      </c>
      <c r="S188" s="239">
        <f ca="1" t="shared" si="67"/>
        <v>-57182.7945945946</v>
      </c>
      <c r="T188" s="238">
        <f ca="1" t="shared" si="68"/>
        <v>-662.79459459459</v>
      </c>
      <c r="U188" s="179"/>
    </row>
    <row r="189" s="122" customFormat="1" ht="17" customHeight="1" spans="1:21">
      <c r="A189" s="215">
        <f>工程量核对表!A150</f>
        <v>3</v>
      </c>
      <c r="B189" s="216" t="str">
        <f>工程量核对表!B150</f>
        <v>dn40（1.6MPa壁厚3.7）PE管</v>
      </c>
      <c r="C189" s="158" t="str">
        <f>工程量核对表!C150</f>
        <v>m</v>
      </c>
      <c r="D189" s="217">
        <v>6000</v>
      </c>
      <c r="E189" s="217">
        <v>10.16</v>
      </c>
      <c r="F189" s="217">
        <v>2.54</v>
      </c>
      <c r="G189" s="217">
        <v>60960</v>
      </c>
      <c r="H189" s="217">
        <v>15240</v>
      </c>
      <c r="I189" s="217">
        <v>3000</v>
      </c>
      <c r="J189" s="217">
        <v>10.16</v>
      </c>
      <c r="K189" s="217">
        <v>2.54</v>
      </c>
      <c r="L189" s="217">
        <v>30480</v>
      </c>
      <c r="M189" s="217">
        <v>7620</v>
      </c>
      <c r="N189" s="238">
        <f ca="1">工程量核对表!F150</f>
        <v>3000</v>
      </c>
      <c r="O189" s="239">
        <f t="shared" si="69"/>
        <v>10.16</v>
      </c>
      <c r="P189" s="239">
        <f t="shared" si="64"/>
        <v>2.36128468468468</v>
      </c>
      <c r="Q189" s="224">
        <f ca="1" t="shared" si="65"/>
        <v>30480</v>
      </c>
      <c r="R189" s="224">
        <f ca="1" t="shared" si="66"/>
        <v>7083.85405405404</v>
      </c>
      <c r="S189" s="239">
        <f ca="1" t="shared" si="67"/>
        <v>-38636.145945946</v>
      </c>
      <c r="T189" s="238">
        <f ca="1" t="shared" si="68"/>
        <v>-536.145945945958</v>
      </c>
      <c r="U189" s="179"/>
    </row>
    <row r="190" s="122" customFormat="1" ht="17" customHeight="1" spans="1:21">
      <c r="A190" s="215">
        <f>工程量核对表!A151</f>
        <v>4</v>
      </c>
      <c r="B190" s="216" t="str">
        <f>工程量核对表!B151</f>
        <v>dn32（1.6MPa壁厚3.0）PE管</v>
      </c>
      <c r="C190" s="158" t="str">
        <f>工程量核对表!C151</f>
        <v>m</v>
      </c>
      <c r="D190" s="217">
        <v>5000</v>
      </c>
      <c r="E190" s="217">
        <v>6.7</v>
      </c>
      <c r="F190" s="217">
        <v>1.88</v>
      </c>
      <c r="G190" s="217">
        <v>33500</v>
      </c>
      <c r="H190" s="217">
        <v>9400</v>
      </c>
      <c r="I190" s="217">
        <v>3400</v>
      </c>
      <c r="J190" s="217">
        <v>6.7</v>
      </c>
      <c r="K190" s="217">
        <v>1.88</v>
      </c>
      <c r="L190" s="217">
        <v>22780</v>
      </c>
      <c r="M190" s="217">
        <v>6392</v>
      </c>
      <c r="N190" s="238">
        <f ca="1">工程量核对表!F151</f>
        <v>3400</v>
      </c>
      <c r="O190" s="239">
        <f t="shared" si="69"/>
        <v>6.7</v>
      </c>
      <c r="P190" s="239">
        <f t="shared" si="64"/>
        <v>1.74772252252252</v>
      </c>
      <c r="Q190" s="224">
        <f ca="1" t="shared" si="65"/>
        <v>22780</v>
      </c>
      <c r="R190" s="224">
        <f ca="1" t="shared" si="66"/>
        <v>5942.25657657657</v>
      </c>
      <c r="S190" s="239">
        <f ca="1" t="shared" si="67"/>
        <v>-14177.7434234234</v>
      </c>
      <c r="T190" s="238">
        <f ca="1" t="shared" si="68"/>
        <v>-449.743423423432</v>
      </c>
      <c r="U190" s="179"/>
    </row>
    <row r="191" s="122" customFormat="1" ht="17" customHeight="1" spans="1:21">
      <c r="A191" s="215">
        <f>工程量核对表!A152</f>
        <v>5</v>
      </c>
      <c r="B191" s="216" t="str">
        <f>工程量核对表!B152</f>
        <v>dn25（1.6MPa壁厚2.3）PE管</v>
      </c>
      <c r="C191" s="158" t="str">
        <f>工程量核对表!C152</f>
        <v>m</v>
      </c>
      <c r="D191" s="217">
        <v>3000</v>
      </c>
      <c r="E191" s="217">
        <v>4.17</v>
      </c>
      <c r="F191" s="217">
        <v>1.33</v>
      </c>
      <c r="G191" s="217">
        <v>12510</v>
      </c>
      <c r="H191" s="217">
        <v>3990</v>
      </c>
      <c r="I191" s="217">
        <v>3000</v>
      </c>
      <c r="J191" s="217">
        <v>4.17</v>
      </c>
      <c r="K191" s="217">
        <v>1.33</v>
      </c>
      <c r="L191" s="217">
        <v>12510</v>
      </c>
      <c r="M191" s="217">
        <v>3990</v>
      </c>
      <c r="N191" s="238">
        <f ca="1">工程量核对表!F152</f>
        <v>3000</v>
      </c>
      <c r="O191" s="239">
        <f t="shared" si="69"/>
        <v>4.17</v>
      </c>
      <c r="P191" s="239">
        <f t="shared" si="64"/>
        <v>1.23642072072072</v>
      </c>
      <c r="Q191" s="224">
        <f ca="1" t="shared" si="65"/>
        <v>12510</v>
      </c>
      <c r="R191" s="224">
        <f ca="1" t="shared" si="66"/>
        <v>3709.26216216216</v>
      </c>
      <c r="S191" s="239">
        <f ca="1" t="shared" si="67"/>
        <v>-280.73783783784</v>
      </c>
      <c r="T191" s="238">
        <f ca="1" t="shared" si="68"/>
        <v>-280.73783783784</v>
      </c>
      <c r="U191" s="179"/>
    </row>
    <row r="192" s="122" customFormat="1" ht="17" customHeight="1" spans="1:21">
      <c r="A192" s="215">
        <f>工程量核对表!A153</f>
        <v>6</v>
      </c>
      <c r="B192" s="216" t="str">
        <f>工程量核对表!B153</f>
        <v>dn20（1.6MPa壁厚2.3）PE管</v>
      </c>
      <c r="C192" s="158" t="str">
        <f>工程量核对表!C153</f>
        <v>m</v>
      </c>
      <c r="D192" s="217">
        <v>19250</v>
      </c>
      <c r="E192" s="217">
        <v>3.47</v>
      </c>
      <c r="F192" s="217">
        <v>1.04</v>
      </c>
      <c r="G192" s="217">
        <v>66797.5</v>
      </c>
      <c r="H192" s="217">
        <v>20020</v>
      </c>
      <c r="I192" s="217">
        <v>12500</v>
      </c>
      <c r="J192" s="217">
        <v>3.47</v>
      </c>
      <c r="K192" s="217">
        <v>1.04</v>
      </c>
      <c r="L192" s="217">
        <v>43375</v>
      </c>
      <c r="M192" s="217">
        <v>13000</v>
      </c>
      <c r="N192" s="238">
        <f ca="1">工程量核对表!F153</f>
        <v>12500</v>
      </c>
      <c r="O192" s="239">
        <f t="shared" si="69"/>
        <v>3.47</v>
      </c>
      <c r="P192" s="239">
        <f t="shared" si="64"/>
        <v>0.966825225225225</v>
      </c>
      <c r="Q192" s="224">
        <f ca="1" t="shared" si="65"/>
        <v>43375</v>
      </c>
      <c r="R192" s="224">
        <f ca="1" t="shared" si="66"/>
        <v>12085.3153153153</v>
      </c>
      <c r="S192" s="239">
        <f ca="1" t="shared" si="67"/>
        <v>-31357.1846846847</v>
      </c>
      <c r="T192" s="238">
        <f ca="1" t="shared" si="68"/>
        <v>-914.684684684689</v>
      </c>
      <c r="U192" s="179"/>
    </row>
    <row r="193" s="122" customFormat="1" ht="17" customHeight="1" spans="1:21">
      <c r="A193" s="215">
        <f>工程量核对表!A154</f>
        <v>7</v>
      </c>
      <c r="B193" s="216" t="str">
        <f>工程量核对表!B154</f>
        <v>各类管件</v>
      </c>
      <c r="C193" s="158" t="str">
        <f>工程量核对表!C154</f>
        <v>元</v>
      </c>
      <c r="D193" s="217">
        <v>8.5</v>
      </c>
      <c r="E193" s="217">
        <v>318307.5</v>
      </c>
      <c r="F193" s="217"/>
      <c r="G193" s="217">
        <v>27056.14</v>
      </c>
      <c r="H193" s="217"/>
      <c r="I193" s="217"/>
      <c r="J193" s="237"/>
      <c r="K193" s="237"/>
      <c r="L193" s="217">
        <v>15411.72</v>
      </c>
      <c r="M193" s="217"/>
      <c r="N193" s="238">
        <f ca="1">工程量核对表!F154</f>
        <v>15411.72</v>
      </c>
      <c r="O193" s="239"/>
      <c r="P193" s="239"/>
      <c r="Q193" s="224">
        <f ca="1">N193</f>
        <v>15411.72</v>
      </c>
      <c r="R193" s="224"/>
      <c r="S193" s="239">
        <f ca="1" t="shared" si="67"/>
        <v>-11644.42</v>
      </c>
      <c r="T193" s="238">
        <f ca="1" t="shared" si="68"/>
        <v>0</v>
      </c>
      <c r="U193" s="179"/>
    </row>
    <row r="194" s="122" customFormat="1" ht="17" customHeight="1" spans="1:21">
      <c r="A194" s="211" t="str">
        <f>工程量核对表!A155</f>
        <v>五</v>
      </c>
      <c r="B194" s="212" t="str">
        <f>工程量核对表!B155</f>
        <v>四社增加工程</v>
      </c>
      <c r="C194" s="213"/>
      <c r="D194" s="214"/>
      <c r="E194" s="214"/>
      <c r="F194" s="214"/>
      <c r="G194" s="214"/>
      <c r="H194" s="214"/>
      <c r="I194" s="214"/>
      <c r="J194" s="233"/>
      <c r="K194" s="233"/>
      <c r="L194" s="214">
        <f>17600</f>
        <v>17600</v>
      </c>
      <c r="M194" s="214"/>
      <c r="N194" s="234"/>
      <c r="O194" s="235"/>
      <c r="P194" s="236"/>
      <c r="Q194" s="236">
        <f ca="1" t="shared" ref="Q194:T194" si="70">SUM(Q195:Q198)</f>
        <v>16361.6576576577</v>
      </c>
      <c r="R194" s="236"/>
      <c r="S194" s="214">
        <f ca="1" t="shared" si="70"/>
        <v>16361.6576576577</v>
      </c>
      <c r="T194" s="214">
        <f ca="1" t="shared" si="70"/>
        <v>-1238.34234234234</v>
      </c>
      <c r="U194" s="252" t="s">
        <v>73</v>
      </c>
    </row>
    <row r="195" s="122" customFormat="1" ht="17" customHeight="1" spans="1:21">
      <c r="A195" s="215">
        <f>工程量核对表!A156</f>
        <v>1</v>
      </c>
      <c r="B195" s="216" t="str">
        <f>工程量核对表!B156</f>
        <v>7m3不锈钢桶</v>
      </c>
      <c r="C195" s="158" t="str">
        <f>工程量核对表!C156</f>
        <v>只</v>
      </c>
      <c r="D195" s="217"/>
      <c r="E195" s="217"/>
      <c r="F195" s="217"/>
      <c r="G195" s="217"/>
      <c r="H195" s="217"/>
      <c r="I195" s="217">
        <v>1</v>
      </c>
      <c r="J195" s="217">
        <v>10000</v>
      </c>
      <c r="K195" s="237"/>
      <c r="L195" s="217">
        <f>I195*J195</f>
        <v>10000</v>
      </c>
      <c r="M195" s="217"/>
      <c r="N195" s="238">
        <f ca="1">工程量核对表!F156</f>
        <v>1</v>
      </c>
      <c r="O195" s="239">
        <f>J195/1.11*1.0319</f>
        <v>9296.3963963964</v>
      </c>
      <c r="P195" s="239"/>
      <c r="Q195" s="224">
        <f ca="1">N195*O195</f>
        <v>9296.3963963964</v>
      </c>
      <c r="R195" s="253"/>
      <c r="S195" s="239">
        <f ca="1">Q195+R195-G195-H195</f>
        <v>9296.3963963964</v>
      </c>
      <c r="T195" s="238">
        <f ca="1">Q195+R195-L195-M195</f>
        <v>-703.6036036036</v>
      </c>
      <c r="U195" s="179"/>
    </row>
    <row r="196" s="122" customFormat="1" ht="17" customHeight="1" spans="1:21">
      <c r="A196" s="215">
        <f>工程量核对表!A157</f>
        <v>2</v>
      </c>
      <c r="B196" s="216" t="str">
        <f>工程量核对表!B157</f>
        <v>220V供电线路</v>
      </c>
      <c r="C196" s="158" t="str">
        <f>工程量核对表!C157</f>
        <v>m</v>
      </c>
      <c r="D196" s="217"/>
      <c r="E196" s="217"/>
      <c r="F196" s="217"/>
      <c r="G196" s="217"/>
      <c r="H196" s="217"/>
      <c r="I196" s="217">
        <v>200</v>
      </c>
      <c r="J196" s="217">
        <v>18</v>
      </c>
      <c r="K196" s="237"/>
      <c r="L196" s="217">
        <f>I196*J196</f>
        <v>3600</v>
      </c>
      <c r="M196" s="217"/>
      <c r="N196" s="238">
        <f ca="1">工程量核对表!F157</f>
        <v>200</v>
      </c>
      <c r="O196" s="239">
        <f>J196/1.11*1.0319</f>
        <v>16.7335135135135</v>
      </c>
      <c r="P196" s="239"/>
      <c r="Q196" s="224">
        <f ca="1">N196*O196</f>
        <v>3346.7027027027</v>
      </c>
      <c r="R196" s="253"/>
      <c r="S196" s="239">
        <f ca="1">Q196+R196-G196-H196</f>
        <v>3346.7027027027</v>
      </c>
      <c r="T196" s="238">
        <f ca="1">Q196+R196-L196-M196</f>
        <v>-253.2972972973</v>
      </c>
      <c r="U196" s="179"/>
    </row>
    <row r="197" s="122" customFormat="1" ht="17" customHeight="1" spans="1:21">
      <c r="A197" s="215">
        <f>工程量核对表!A158</f>
        <v>3</v>
      </c>
      <c r="B197" s="216" t="str">
        <f>工程量核对表!B158</f>
        <v>增压泵</v>
      </c>
      <c r="C197" s="158" t="str">
        <f>工程量核对表!C158</f>
        <v>台</v>
      </c>
      <c r="D197" s="217"/>
      <c r="E197" s="217"/>
      <c r="F197" s="217"/>
      <c r="G197" s="217"/>
      <c r="H197" s="217"/>
      <c r="I197" s="217">
        <v>1</v>
      </c>
      <c r="J197" s="217">
        <v>3000</v>
      </c>
      <c r="K197" s="237"/>
      <c r="L197" s="217">
        <f>I197*J197</f>
        <v>3000</v>
      </c>
      <c r="M197" s="217"/>
      <c r="N197" s="238">
        <f ca="1">工程量核对表!F158</f>
        <v>1</v>
      </c>
      <c r="O197" s="239">
        <f>J197/1.11*1.0319</f>
        <v>2788.91891891892</v>
      </c>
      <c r="P197" s="239"/>
      <c r="Q197" s="224">
        <f ca="1">N197*O197</f>
        <v>2788.91891891892</v>
      </c>
      <c r="R197" s="253"/>
      <c r="S197" s="239">
        <f ca="1">Q197+R197-G197-H197</f>
        <v>2788.91891891892</v>
      </c>
      <c r="T197" s="238">
        <f ca="1">Q197+R197-L197-M197</f>
        <v>-211.08108108108</v>
      </c>
      <c r="U197" s="179"/>
    </row>
    <row r="198" s="122" customFormat="1" ht="17" customHeight="1" spans="1:21">
      <c r="A198" s="215">
        <f>工程量核对表!A159</f>
        <v>4</v>
      </c>
      <c r="B198" s="216" t="str">
        <f>工程量核对表!B159</f>
        <v>水表</v>
      </c>
      <c r="C198" s="158" t="str">
        <f>工程量核对表!C159</f>
        <v>只</v>
      </c>
      <c r="D198" s="217"/>
      <c r="E198" s="217"/>
      <c r="F198" s="217"/>
      <c r="G198" s="217"/>
      <c r="H198" s="217"/>
      <c r="I198" s="217">
        <v>1</v>
      </c>
      <c r="J198" s="217">
        <v>1000</v>
      </c>
      <c r="K198" s="237"/>
      <c r="L198" s="217">
        <f>I198*J198</f>
        <v>1000</v>
      </c>
      <c r="M198" s="217"/>
      <c r="N198" s="238">
        <f ca="1">工程量核对表!F159</f>
        <v>1</v>
      </c>
      <c r="O198" s="239">
        <f>J198/1.11*1.0319</f>
        <v>929.63963963964</v>
      </c>
      <c r="P198" s="239"/>
      <c r="Q198" s="224">
        <f ca="1">N198*O198</f>
        <v>929.63963963964</v>
      </c>
      <c r="R198" s="253"/>
      <c r="S198" s="239">
        <f ca="1">Q198+R198-G198-H198</f>
        <v>929.63963963964</v>
      </c>
      <c r="T198" s="238">
        <f ca="1">Q198+R198-L198-M198</f>
        <v>-70.36036036036</v>
      </c>
      <c r="U198" s="179"/>
    </row>
    <row r="199" s="194" customFormat="1" ht="17" customHeight="1" spans="1:21">
      <c r="A199" s="209"/>
      <c r="B199" s="209" t="s">
        <v>74</v>
      </c>
      <c r="C199" s="152"/>
      <c r="D199" s="272">
        <v>16601.35</v>
      </c>
      <c r="E199" s="273"/>
      <c r="F199" s="273"/>
      <c r="G199" s="273"/>
      <c r="H199" s="274"/>
      <c r="I199" s="272">
        <v>16601.35</v>
      </c>
      <c r="J199" s="273"/>
      <c r="K199" s="273"/>
      <c r="L199" s="273"/>
      <c r="M199" s="274"/>
      <c r="N199" s="272">
        <v>16600</v>
      </c>
      <c r="O199" s="290"/>
      <c r="P199" s="290"/>
      <c r="Q199" s="290"/>
      <c r="R199" s="296"/>
      <c r="S199" s="264">
        <f t="shared" ref="S199:S205" si="71">N199-D199</f>
        <v>-1.34999999999854</v>
      </c>
      <c r="T199" s="264">
        <f t="shared" ref="T199:T205" si="72">N199-I199</f>
        <v>-1.34999999999854</v>
      </c>
      <c r="U199" s="178"/>
    </row>
    <row r="200" s="122" customFormat="1" ht="24" customHeight="1" spans="1:22">
      <c r="A200" s="275"/>
      <c r="B200" s="189" t="s">
        <v>38</v>
      </c>
      <c r="C200" s="189"/>
      <c r="D200" s="276">
        <f>G6+G166+H166+D199</f>
        <v>1087656.07</v>
      </c>
      <c r="E200" s="277"/>
      <c r="F200" s="277"/>
      <c r="G200" s="277"/>
      <c r="H200" s="278"/>
      <c r="I200" s="276">
        <f>L6+L166+M166+I199</f>
        <v>1031935.53</v>
      </c>
      <c r="J200" s="277"/>
      <c r="K200" s="277"/>
      <c r="L200" s="277"/>
      <c r="M200" s="278"/>
      <c r="N200" s="276">
        <f ca="1">Q6+Q166+R166+N199</f>
        <v>914723.578977784</v>
      </c>
      <c r="O200" s="291"/>
      <c r="P200" s="291"/>
      <c r="Q200" s="291"/>
      <c r="R200" s="297"/>
      <c r="S200" s="298">
        <f ca="1" t="shared" si="71"/>
        <v>-172932.491022216</v>
      </c>
      <c r="T200" s="299">
        <f ca="1" t="shared" si="72"/>
        <v>-117211.951022216</v>
      </c>
      <c r="U200" s="300" t="s">
        <v>39</v>
      </c>
      <c r="V200" s="301"/>
    </row>
    <row r="201" s="122" customFormat="1" ht="24" customHeight="1" spans="1:21">
      <c r="A201" s="148"/>
      <c r="B201" s="279" t="s">
        <v>40</v>
      </c>
      <c r="C201" s="189"/>
      <c r="D201" s="276">
        <f>G186</f>
        <v>345363.64</v>
      </c>
      <c r="E201" s="277"/>
      <c r="F201" s="277"/>
      <c r="G201" s="277"/>
      <c r="H201" s="278"/>
      <c r="I201" s="276">
        <f>L186</f>
        <v>196726.04</v>
      </c>
      <c r="J201" s="277"/>
      <c r="K201" s="277"/>
      <c r="L201" s="277"/>
      <c r="M201" s="278"/>
      <c r="N201" s="276">
        <f ca="1">Q186</f>
        <v>196726.04</v>
      </c>
      <c r="O201" s="291"/>
      <c r="P201" s="291"/>
      <c r="Q201" s="291"/>
      <c r="R201" s="297"/>
      <c r="S201" s="298">
        <f ca="1" t="shared" si="71"/>
        <v>-148637.6</v>
      </c>
      <c r="T201" s="299">
        <f ca="1" t="shared" si="72"/>
        <v>0</v>
      </c>
      <c r="U201" s="247" t="s">
        <v>41</v>
      </c>
    </row>
    <row r="202" s="122" customFormat="1" ht="24" customHeight="1" spans="1:21">
      <c r="A202" s="148"/>
      <c r="B202" s="279" t="s">
        <v>42</v>
      </c>
      <c r="C202" s="189"/>
      <c r="D202" s="276">
        <f>D199</f>
        <v>16601.35</v>
      </c>
      <c r="E202" s="277"/>
      <c r="F202" s="277"/>
      <c r="G202" s="277"/>
      <c r="H202" s="278"/>
      <c r="I202" s="276">
        <f>I199</f>
        <v>16601.35</v>
      </c>
      <c r="J202" s="277"/>
      <c r="K202" s="277"/>
      <c r="L202" s="277"/>
      <c r="M202" s="278"/>
      <c r="N202" s="276">
        <f>N199</f>
        <v>16600</v>
      </c>
      <c r="O202" s="291"/>
      <c r="P202" s="291"/>
      <c r="Q202" s="291"/>
      <c r="R202" s="297"/>
      <c r="S202" s="298">
        <f t="shared" si="71"/>
        <v>-1.34999999999854</v>
      </c>
      <c r="T202" s="299">
        <f t="shared" si="72"/>
        <v>-1.34999999999854</v>
      </c>
      <c r="U202" s="249"/>
    </row>
    <row r="203" s="122" customFormat="1" ht="56" customHeight="1" spans="1:21">
      <c r="A203" s="148"/>
      <c r="B203" s="279" t="s">
        <v>43</v>
      </c>
      <c r="C203" s="189"/>
      <c r="D203" s="280"/>
      <c r="E203" s="281"/>
      <c r="F203" s="281"/>
      <c r="G203" s="281"/>
      <c r="H203" s="278"/>
      <c r="I203" s="280"/>
      <c r="J203" s="281"/>
      <c r="K203" s="281"/>
      <c r="L203" s="281"/>
      <c r="M203" s="278"/>
      <c r="N203" s="276">
        <f ca="1">-(Q6+Q167+Q174)/1.11*0.01</f>
        <v>-4788.96215967325</v>
      </c>
      <c r="O203" s="291"/>
      <c r="P203" s="291"/>
      <c r="Q203" s="291"/>
      <c r="R203" s="297"/>
      <c r="S203" s="298">
        <f ca="1" t="shared" si="71"/>
        <v>-4788.96215967325</v>
      </c>
      <c r="T203" s="299">
        <f ca="1" t="shared" si="72"/>
        <v>-4788.96215967325</v>
      </c>
      <c r="U203" s="300" t="s">
        <v>44</v>
      </c>
    </row>
    <row r="204" s="122" customFormat="1" ht="24" customHeight="1" spans="1:21">
      <c r="A204" s="148"/>
      <c r="B204" s="279" t="s">
        <v>45</v>
      </c>
      <c r="C204" s="189"/>
      <c r="D204" s="276">
        <f>-(D200-D201-D202+D203)*U204</f>
        <v>-14420.1517663407</v>
      </c>
      <c r="E204" s="277"/>
      <c r="F204" s="277"/>
      <c r="G204" s="277"/>
      <c r="H204" s="278"/>
      <c r="I204" s="280"/>
      <c r="J204" s="281"/>
      <c r="K204" s="281"/>
      <c r="L204" s="281"/>
      <c r="M204" s="278"/>
      <c r="N204" s="276">
        <f ca="1">-(N200-N201-N202+N203)*U204</f>
        <v>-13842.2555771965</v>
      </c>
      <c r="O204" s="291"/>
      <c r="P204" s="291"/>
      <c r="Q204" s="291"/>
      <c r="R204" s="297"/>
      <c r="S204" s="298">
        <f ca="1" t="shared" si="71"/>
        <v>577.89618914415</v>
      </c>
      <c r="T204" s="299">
        <f ca="1" t="shared" si="72"/>
        <v>-13842.2555771965</v>
      </c>
      <c r="U204" s="302">
        <f>1-52.834/((D200-D201-D202-G167-H167-G140-G88)/10000)</f>
        <v>0.0198709232671576</v>
      </c>
    </row>
    <row r="205" s="122" customFormat="1" ht="29" customHeight="1" spans="1:22">
      <c r="A205" s="148"/>
      <c r="B205" s="282" t="s">
        <v>46</v>
      </c>
      <c r="C205" s="189"/>
      <c r="D205" s="276">
        <f>D200-(D201+D202-D203-D204)</f>
        <v>711270.928233659</v>
      </c>
      <c r="E205" s="277"/>
      <c r="F205" s="277"/>
      <c r="G205" s="277"/>
      <c r="H205" s="278"/>
      <c r="I205" s="276">
        <f>I200-(I201+I202-I203-I204)</f>
        <v>818608.14</v>
      </c>
      <c r="J205" s="277"/>
      <c r="K205" s="277"/>
      <c r="L205" s="277"/>
      <c r="M205" s="278"/>
      <c r="N205" s="276">
        <f ca="1">N200-(N201+N202-N203-N204)</f>
        <v>682766.321240915</v>
      </c>
      <c r="O205" s="291"/>
      <c r="P205" s="291"/>
      <c r="Q205" s="291"/>
      <c r="R205" s="297"/>
      <c r="S205" s="298">
        <f ca="1" t="shared" si="71"/>
        <v>-28504.6069927443</v>
      </c>
      <c r="T205" s="299">
        <f ca="1" t="shared" si="72"/>
        <v>-135841.818759085</v>
      </c>
      <c r="U205" s="303">
        <f ca="1">T205/I205</f>
        <v>-0.165942423635178</v>
      </c>
      <c r="V205" s="123"/>
    </row>
    <row r="206" hidden="1" customHeight="1" spans="1:20">
      <c r="A206" s="283"/>
      <c r="B206" s="284"/>
      <c r="C206" s="285"/>
      <c r="D206" s="286"/>
      <c r="E206" s="286"/>
      <c r="F206" s="286"/>
      <c r="G206" s="286"/>
      <c r="H206" s="287"/>
      <c r="I206" s="287"/>
      <c r="J206" s="287"/>
      <c r="K206" s="287"/>
      <c r="L206" s="287"/>
      <c r="M206" s="287"/>
      <c r="N206" s="292"/>
      <c r="O206" s="293"/>
      <c r="P206" s="293"/>
      <c r="Q206" s="293"/>
      <c r="R206" s="304"/>
      <c r="S206" s="305"/>
      <c r="T206" s="293"/>
    </row>
    <row r="207" hidden="1" customHeight="1" spans="1:20">
      <c r="A207" s="283"/>
      <c r="B207" s="284"/>
      <c r="C207" s="285"/>
      <c r="D207" s="286"/>
      <c r="E207" s="288"/>
      <c r="F207" s="288"/>
      <c r="G207" s="286"/>
      <c r="H207" s="289"/>
      <c r="I207" s="287"/>
      <c r="J207" s="287"/>
      <c r="K207" s="287"/>
      <c r="L207" s="287"/>
      <c r="M207" s="287"/>
      <c r="N207" s="292"/>
      <c r="O207" s="293"/>
      <c r="P207" s="293"/>
      <c r="Q207" s="293"/>
      <c r="R207" s="304"/>
      <c r="S207" s="305"/>
      <c r="T207" s="293"/>
    </row>
    <row r="208" hidden="1" customHeight="1" spans="1:20">
      <c r="A208" s="283"/>
      <c r="B208" s="284"/>
      <c r="C208" s="285"/>
      <c r="D208" s="286"/>
      <c r="E208" s="286"/>
      <c r="F208" s="286"/>
      <c r="G208" s="286">
        <f>D200-D201-D202-G167-H167-G140-G88</f>
        <v>539051.45</v>
      </c>
      <c r="H208" s="287">
        <f>G208/10000</f>
        <v>53.905145</v>
      </c>
      <c r="I208" s="289">
        <f>1-52.834/H208</f>
        <v>0.0198709232671576</v>
      </c>
      <c r="J208" s="287"/>
      <c r="K208" s="287"/>
      <c r="L208" s="287"/>
      <c r="M208" s="287"/>
      <c r="N208" s="292"/>
      <c r="O208" s="293"/>
      <c r="P208" s="293"/>
      <c r="Q208" s="293"/>
      <c r="R208" s="304"/>
      <c r="S208" s="305"/>
      <c r="T208" s="293"/>
    </row>
    <row r="209" hidden="1" customHeight="1" spans="1:20">
      <c r="A209" s="283"/>
      <c r="B209" s="284"/>
      <c r="C209" s="285"/>
      <c r="D209" s="286"/>
      <c r="E209" s="286"/>
      <c r="F209" s="286"/>
      <c r="G209" s="286">
        <v>891000</v>
      </c>
      <c r="H209" s="289"/>
      <c r="I209" s="287"/>
      <c r="J209" s="287"/>
      <c r="K209" s="287"/>
      <c r="L209" s="294"/>
      <c r="M209" s="287"/>
      <c r="N209" s="292"/>
      <c r="O209" s="293"/>
      <c r="P209" s="293"/>
      <c r="Q209" s="293"/>
      <c r="R209" s="304"/>
      <c r="S209" s="305"/>
      <c r="T209" s="293"/>
    </row>
    <row r="210" hidden="1" customHeight="1" spans="1:20">
      <c r="A210" s="283"/>
      <c r="B210" s="284"/>
      <c r="C210" s="285"/>
      <c r="D210" s="286"/>
      <c r="E210" s="286"/>
      <c r="F210" s="286"/>
      <c r="G210" s="286">
        <f>G209-D201-D202</f>
        <v>529035.01</v>
      </c>
      <c r="H210" s="287">
        <f>G210/10000</f>
        <v>52.903501</v>
      </c>
      <c r="I210" s="289">
        <f>1-52.834/H210</f>
        <v>0.0013137315808267</v>
      </c>
      <c r="J210" s="287"/>
      <c r="K210" s="287"/>
      <c r="L210" s="287"/>
      <c r="M210" s="287"/>
      <c r="N210" s="292"/>
      <c r="O210" s="293"/>
      <c r="P210" s="293"/>
      <c r="Q210" s="293"/>
      <c r="R210" s="304"/>
      <c r="S210" s="305"/>
      <c r="T210" s="293"/>
    </row>
    <row r="211" hidden="1" customHeight="1" spans="1:20">
      <c r="A211" s="283"/>
      <c r="B211" s="284"/>
      <c r="C211" s="285"/>
      <c r="D211" s="286"/>
      <c r="E211" s="286"/>
      <c r="F211" s="286"/>
      <c r="G211" s="286"/>
      <c r="H211" s="287"/>
      <c r="I211" s="287"/>
      <c r="J211" s="287"/>
      <c r="K211" s="287"/>
      <c r="L211" s="287"/>
      <c r="M211" s="287"/>
      <c r="N211" s="292"/>
      <c r="O211" s="293"/>
      <c r="P211" s="293"/>
      <c r="Q211" s="293"/>
      <c r="R211" s="304"/>
      <c r="S211" s="305"/>
      <c r="T211" s="293"/>
    </row>
    <row r="212" hidden="1" customHeight="1" spans="1:20">
      <c r="A212" s="283"/>
      <c r="B212" s="284"/>
      <c r="C212" s="285"/>
      <c r="D212" s="286"/>
      <c r="E212" s="286"/>
      <c r="F212" s="286"/>
      <c r="G212" s="286"/>
      <c r="H212" s="287"/>
      <c r="I212" s="287"/>
      <c r="J212" s="287"/>
      <c r="K212" s="287"/>
      <c r="L212" s="287"/>
      <c r="M212" s="287"/>
      <c r="N212" s="292"/>
      <c r="O212" s="293"/>
      <c r="P212" s="293"/>
      <c r="Q212" s="293"/>
      <c r="R212" s="304"/>
      <c r="S212" s="305"/>
      <c r="T212" s="293"/>
    </row>
    <row r="213" customHeight="1" spans="1:22">
      <c r="A213" s="283"/>
      <c r="B213" s="284"/>
      <c r="C213" s="285"/>
      <c r="D213" s="286"/>
      <c r="E213" s="286"/>
      <c r="F213" s="286"/>
      <c r="G213" s="286"/>
      <c r="H213" s="287"/>
      <c r="I213" s="287"/>
      <c r="J213" s="287"/>
      <c r="K213" s="287"/>
      <c r="L213" s="287"/>
      <c r="M213" s="287"/>
      <c r="N213" s="292"/>
      <c r="O213" s="293"/>
      <c r="P213" s="293"/>
      <c r="Q213" s="293"/>
      <c r="R213" s="304"/>
      <c r="S213" s="305"/>
      <c r="T213" s="293"/>
      <c r="V213" s="306"/>
    </row>
    <row r="214" customHeight="1" spans="1:20">
      <c r="A214" s="283"/>
      <c r="B214" s="284"/>
      <c r="C214" s="285"/>
      <c r="D214" s="286"/>
      <c r="E214" s="286"/>
      <c r="F214" s="286"/>
      <c r="G214" s="286"/>
      <c r="H214" s="287"/>
      <c r="I214" s="287"/>
      <c r="J214" s="287"/>
      <c r="K214" s="287"/>
      <c r="L214" s="287"/>
      <c r="M214" s="287"/>
      <c r="N214" s="292"/>
      <c r="O214" s="293"/>
      <c r="P214" s="293"/>
      <c r="Q214" s="293"/>
      <c r="R214" s="304"/>
      <c r="S214" s="305"/>
      <c r="T214" s="293"/>
    </row>
    <row r="215" customHeight="1" spans="1:20">
      <c r="A215" s="283"/>
      <c r="B215" s="284"/>
      <c r="C215" s="285"/>
      <c r="D215" s="286"/>
      <c r="E215" s="286"/>
      <c r="F215" s="286"/>
      <c r="G215" s="286"/>
      <c r="H215" s="287"/>
      <c r="I215" s="287"/>
      <c r="J215" s="287"/>
      <c r="K215" s="287"/>
      <c r="L215" s="287"/>
      <c r="M215" s="287"/>
      <c r="N215" s="292"/>
      <c r="O215" s="293"/>
      <c r="P215" s="293"/>
      <c r="Q215" s="293"/>
      <c r="R215" s="304"/>
      <c r="S215" s="305"/>
      <c r="T215" s="293"/>
    </row>
    <row r="216" customHeight="1" spans="1:20">
      <c r="A216" s="283"/>
      <c r="B216" s="284"/>
      <c r="C216" s="285"/>
      <c r="D216" s="286"/>
      <c r="E216" s="286"/>
      <c r="F216" s="286"/>
      <c r="G216" s="286"/>
      <c r="H216" s="287"/>
      <c r="I216" s="287"/>
      <c r="J216" s="287"/>
      <c r="K216" s="287"/>
      <c r="L216" s="287"/>
      <c r="M216" s="287"/>
      <c r="N216" s="292"/>
      <c r="O216" s="293"/>
      <c r="P216" s="293"/>
      <c r="Q216" s="293"/>
      <c r="R216" s="304"/>
      <c r="S216" s="305"/>
      <c r="T216" s="293"/>
    </row>
    <row r="217" customHeight="1" spans="1:20">
      <c r="A217" s="283"/>
      <c r="B217" s="284"/>
      <c r="C217" s="285"/>
      <c r="D217" s="286"/>
      <c r="E217" s="286"/>
      <c r="F217" s="286"/>
      <c r="G217" s="286"/>
      <c r="H217" s="287"/>
      <c r="I217" s="287"/>
      <c r="J217" s="287"/>
      <c r="K217" s="287"/>
      <c r="L217" s="287"/>
      <c r="M217" s="287"/>
      <c r="N217" s="292"/>
      <c r="O217" s="293"/>
      <c r="P217" s="293"/>
      <c r="Q217" s="293"/>
      <c r="R217" s="304"/>
      <c r="S217" s="305"/>
      <c r="T217" s="293"/>
    </row>
    <row r="222" customHeight="1" spans="10:10">
      <c r="J222" s="295"/>
    </row>
  </sheetData>
  <autoFilter ref="A3:U205">
    <extLst/>
  </autoFilter>
  <mergeCells count="43">
    <mergeCell ref="A1:U1"/>
    <mergeCell ref="A2:U2"/>
    <mergeCell ref="D3:H3"/>
    <mergeCell ref="I3:M3"/>
    <mergeCell ref="N3:R3"/>
    <mergeCell ref="S3:T3"/>
    <mergeCell ref="E4:F4"/>
    <mergeCell ref="G4:H4"/>
    <mergeCell ref="J4:K4"/>
    <mergeCell ref="L4:M4"/>
    <mergeCell ref="O4:P4"/>
    <mergeCell ref="Q4:R4"/>
    <mergeCell ref="D199:G199"/>
    <mergeCell ref="I199:L199"/>
    <mergeCell ref="N199:Q199"/>
    <mergeCell ref="D200:G200"/>
    <mergeCell ref="I200:L200"/>
    <mergeCell ref="N200:Q200"/>
    <mergeCell ref="D201:G201"/>
    <mergeCell ref="I201:L201"/>
    <mergeCell ref="N201:Q201"/>
    <mergeCell ref="D202:G202"/>
    <mergeCell ref="I202:L202"/>
    <mergeCell ref="N202:Q202"/>
    <mergeCell ref="D203:G203"/>
    <mergeCell ref="I203:L203"/>
    <mergeCell ref="N203:Q203"/>
    <mergeCell ref="D204:G204"/>
    <mergeCell ref="I204:L204"/>
    <mergeCell ref="N204:Q204"/>
    <mergeCell ref="D205:G205"/>
    <mergeCell ref="I205:L205"/>
    <mergeCell ref="N205:Q205"/>
    <mergeCell ref="A3:A5"/>
    <mergeCell ref="B3:B5"/>
    <mergeCell ref="C3:C5"/>
    <mergeCell ref="D4:D5"/>
    <mergeCell ref="I4:I5"/>
    <mergeCell ref="N4:N5"/>
    <mergeCell ref="S4:S5"/>
    <mergeCell ref="T4:T5"/>
    <mergeCell ref="U3:U5"/>
    <mergeCell ref="U201:U202"/>
  </mergeCells>
  <pageMargins left="0.432638888888889" right="0.393055555555556" top="0.550694444444444" bottom="0.550694444444444" header="0.314583333333333" footer="0.354166666666667"/>
  <pageSetup paperSize="9" scale="60" fitToHeight="0" orientation="landscape" horizontalDpi="600"/>
  <headerFooter>
    <oddHeader>&amp;R&amp;10
</oddHeader>
    <oddFooter>&amp;C&amp;"楷体"第 &amp;P 页，共 &amp;N 页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16"/>
  <sheetViews>
    <sheetView workbookViewId="0">
      <pane ySplit="4" topLeftCell="A5" activePane="bottomLeft" state="frozen"/>
      <selection/>
      <selection pane="bottomLeft" activeCell="F17" sqref="F17"/>
    </sheetView>
  </sheetViews>
  <sheetFormatPr defaultColWidth="9" defaultRowHeight="14.25"/>
  <cols>
    <col min="1" max="1" width="7.125" style="122" customWidth="1"/>
    <col min="2" max="2" width="35" style="125" customWidth="1"/>
    <col min="3" max="3" width="5.775" style="122" customWidth="1"/>
    <col min="4" max="4" width="8.775" style="126" customWidth="1"/>
    <col min="5" max="5" width="8.775" style="127" customWidth="1"/>
    <col min="6" max="6" width="8.775" style="128" customWidth="1"/>
    <col min="7" max="8" width="9.55833333333333" style="129" customWidth="1"/>
    <col min="9" max="9" width="14.25" style="130" customWidth="1"/>
    <col min="10" max="10" width="23.5" style="131" hidden="1" customWidth="1"/>
    <col min="11" max="11" width="12.125" style="131" hidden="1" customWidth="1"/>
    <col min="12" max="12" width="11.25" style="131" hidden="1" customWidth="1"/>
    <col min="13" max="13" width="9" style="123" customWidth="1"/>
    <col min="14" max="16384" width="9" style="123"/>
  </cols>
  <sheetData>
    <row r="1" s="119" customFormat="1" ht="48" customHeight="1" spans="1:12">
      <c r="A1" s="132" t="s">
        <v>75</v>
      </c>
      <c r="B1" s="133"/>
      <c r="C1" s="133"/>
      <c r="D1" s="134"/>
      <c r="E1" s="135"/>
      <c r="F1" s="136"/>
      <c r="G1" s="134"/>
      <c r="H1" s="134"/>
      <c r="I1" s="174"/>
      <c r="J1" s="131"/>
      <c r="K1" s="131"/>
      <c r="L1" s="131"/>
    </row>
    <row r="2" s="120" customFormat="1" ht="17" customHeight="1" spans="1:12">
      <c r="A2" s="137" t="s">
        <v>22</v>
      </c>
      <c r="B2" s="137"/>
      <c r="C2" s="137"/>
      <c r="D2" s="138"/>
      <c r="E2" s="138"/>
      <c r="F2" s="138"/>
      <c r="G2" s="138"/>
      <c r="H2" s="138"/>
      <c r="I2" s="175"/>
      <c r="J2" s="131"/>
      <c r="K2" s="131"/>
      <c r="L2" s="131"/>
    </row>
    <row r="3" s="120" customFormat="1" ht="17" customHeight="1" spans="1:12">
      <c r="A3" s="139" t="s">
        <v>48</v>
      </c>
      <c r="B3" s="140" t="s">
        <v>24</v>
      </c>
      <c r="C3" s="140" t="s">
        <v>25</v>
      </c>
      <c r="D3" s="141" t="s">
        <v>76</v>
      </c>
      <c r="E3" s="142" t="s">
        <v>77</v>
      </c>
      <c r="F3" s="143" t="s">
        <v>78</v>
      </c>
      <c r="G3" s="144" t="s">
        <v>79</v>
      </c>
      <c r="H3" s="144"/>
      <c r="I3" s="176" t="s">
        <v>52</v>
      </c>
      <c r="J3" s="131"/>
      <c r="K3" s="131"/>
      <c r="L3" s="131"/>
    </row>
    <row r="4" s="120" customFormat="1" ht="18" customHeight="1" spans="1:12">
      <c r="A4" s="145"/>
      <c r="B4" s="146"/>
      <c r="C4" s="146"/>
      <c r="D4" s="141"/>
      <c r="E4" s="142"/>
      <c r="F4" s="143"/>
      <c r="G4" s="147" t="s">
        <v>80</v>
      </c>
      <c r="H4" s="147" t="s">
        <v>81</v>
      </c>
      <c r="I4" s="176"/>
      <c r="J4" s="131"/>
      <c r="K4" s="131"/>
      <c r="L4" s="131"/>
    </row>
    <row r="5" s="121" customFormat="1" ht="18" customHeight="1" spans="1:12">
      <c r="A5" s="145"/>
      <c r="B5" s="148" t="s">
        <v>57</v>
      </c>
      <c r="C5" s="146"/>
      <c r="D5" s="141"/>
      <c r="E5" s="142"/>
      <c r="F5" s="143"/>
      <c r="G5" s="149"/>
      <c r="H5" s="149"/>
      <c r="I5" s="176"/>
      <c r="J5" s="177"/>
      <c r="K5" s="177"/>
      <c r="L5" s="177"/>
    </row>
    <row r="6" s="122" customFormat="1" ht="16.5" customHeight="1" spans="1:12">
      <c r="A6" s="150" t="str">
        <f>工程量计算稿!A5</f>
        <v>一</v>
      </c>
      <c r="B6" s="151" t="str">
        <f>工程量计算稿!B5</f>
        <v>输水工程</v>
      </c>
      <c r="C6" s="152"/>
      <c r="D6" s="153"/>
      <c r="E6" s="154"/>
      <c r="F6" s="155"/>
      <c r="G6" s="156"/>
      <c r="H6" s="156"/>
      <c r="I6" s="178"/>
      <c r="J6" s="131"/>
      <c r="K6" s="131"/>
      <c r="L6" s="131"/>
    </row>
    <row r="7" s="122" customFormat="1" ht="16.5" customHeight="1" spans="1:12">
      <c r="A7" s="157">
        <f>工程量计算稿!A6</f>
        <v>1</v>
      </c>
      <c r="B7" s="114" t="str">
        <f>工程量计算稿!B6</f>
        <v>C20砼镇支墩</v>
      </c>
      <c r="C7" s="158" t="str">
        <f>工程量计算稿!C6</f>
        <v>个</v>
      </c>
      <c r="D7" s="159">
        <f>结算审核明细表!D8</f>
        <v>2</v>
      </c>
      <c r="E7" s="160">
        <f>结算审核明细表!I8</f>
        <v>0</v>
      </c>
      <c r="F7" s="161">
        <f ca="1">工程量计算稿!E6</f>
        <v>0</v>
      </c>
      <c r="G7" s="162">
        <f ca="1">F7-D7</f>
        <v>-2</v>
      </c>
      <c r="H7" s="162">
        <f ca="1">F7-E7</f>
        <v>0</v>
      </c>
      <c r="I7" s="179"/>
      <c r="J7" s="131"/>
      <c r="K7" s="131"/>
      <c r="L7" s="131"/>
    </row>
    <row r="8" s="122" customFormat="1" ht="16.5" customHeight="1" spans="1:12">
      <c r="A8" s="150" t="str">
        <f>工程量计算稿!A7</f>
        <v>二</v>
      </c>
      <c r="B8" s="151" t="str">
        <f>工程量计算稿!B7</f>
        <v>水厂工程</v>
      </c>
      <c r="C8" s="152"/>
      <c r="D8" s="153"/>
      <c r="E8" s="154"/>
      <c r="F8" s="155"/>
      <c r="G8" s="156"/>
      <c r="H8" s="156"/>
      <c r="I8" s="178"/>
      <c r="J8" s="131"/>
      <c r="K8" s="180"/>
      <c r="L8" s="180"/>
    </row>
    <row r="9" s="122" customFormat="1" ht="16.5" customHeight="1" spans="1:12">
      <c r="A9" s="163" t="str">
        <f>工程量计算稿!A8</f>
        <v>（一）</v>
      </c>
      <c r="B9" s="164" t="str">
        <f>工程量计算稿!B8</f>
        <v>闸阀井</v>
      </c>
      <c r="C9" s="165" t="str">
        <f>工程量计算稿!C8</f>
        <v>个</v>
      </c>
      <c r="D9" s="166"/>
      <c r="E9" s="167"/>
      <c r="F9" s="168"/>
      <c r="G9" s="169"/>
      <c r="H9" s="169"/>
      <c r="I9" s="181"/>
      <c r="J9" s="131"/>
      <c r="K9" s="180"/>
      <c r="L9" s="180"/>
    </row>
    <row r="10" s="122" customFormat="1" ht="16.5" customHeight="1" spans="1:12">
      <c r="A10" s="157">
        <f>工程量计算稿!A9</f>
        <v>1</v>
      </c>
      <c r="B10" s="114" t="str">
        <f>工程量计算稿!B9</f>
        <v>土方开挖</v>
      </c>
      <c r="C10" s="158" t="str">
        <f>工程量计算稿!C9</f>
        <v>m3</v>
      </c>
      <c r="D10" s="159">
        <f>结算审核明细表!D11</f>
        <v>3.06</v>
      </c>
      <c r="E10" s="160">
        <f>结算审核明细表!I11</f>
        <v>3.2</v>
      </c>
      <c r="F10" s="161">
        <f ca="1">工程量计算稿!E9</f>
        <v>3.2</v>
      </c>
      <c r="G10" s="162">
        <f ca="1" t="shared" ref="G8:G39" si="0">F10-D10</f>
        <v>0.14</v>
      </c>
      <c r="H10" s="162">
        <f ca="1" t="shared" ref="H8:H39" si="1">F10-E10</f>
        <v>0</v>
      </c>
      <c r="I10" s="179"/>
      <c r="J10" s="182" t="s">
        <v>82</v>
      </c>
      <c r="K10" s="180">
        <f ca="1">G10+G19+G33+G53+G66+G75+G95+G107+G124</f>
        <v>2518.817761465</v>
      </c>
      <c r="L10" s="180">
        <f ca="1">H10+H19+H33+H53+H66+H75+H95+H107+H124</f>
        <v>2489.057761465</v>
      </c>
    </row>
    <row r="11" s="122" customFormat="1" ht="16.5" customHeight="1" spans="1:12">
      <c r="A11" s="157">
        <f>工程量计算稿!A10</f>
        <v>2</v>
      </c>
      <c r="B11" s="114" t="str">
        <f>工程量计算稿!B10</f>
        <v>石方开挖</v>
      </c>
      <c r="C11" s="158" t="str">
        <f>工程量计算稿!C10</f>
        <v>m3</v>
      </c>
      <c r="D11" s="159">
        <f>结算审核明细表!D12</f>
        <v>2.12</v>
      </c>
      <c r="E11" s="160">
        <f>结算审核明细表!I12</f>
        <v>0</v>
      </c>
      <c r="F11" s="161">
        <f ca="1">工程量计算稿!E10</f>
        <v>0</v>
      </c>
      <c r="G11" s="162">
        <f ca="1" t="shared" si="0"/>
        <v>-2.12</v>
      </c>
      <c r="H11" s="162">
        <f ca="1" t="shared" si="1"/>
        <v>0</v>
      </c>
      <c r="I11" s="179"/>
      <c r="J11" s="183" t="s">
        <v>83</v>
      </c>
      <c r="K11" s="180">
        <f ca="1">G11+G20+G34+G54+G67+G76+G96+G108+G125</f>
        <v>465.429383485</v>
      </c>
      <c r="L11" s="180">
        <f ca="1">H11+H20+H34+H54+H67+H76+H96+H108+H125</f>
        <v>585.989383485</v>
      </c>
    </row>
    <row r="12" s="122" customFormat="1" ht="16.5" customHeight="1" spans="1:12">
      <c r="A12" s="157">
        <f>工程量计算稿!A11</f>
        <v>3</v>
      </c>
      <c r="B12" s="114" t="str">
        <f>工程量计算稿!B11</f>
        <v>土方回填</v>
      </c>
      <c r="C12" s="158" t="str">
        <f>工程量计算稿!C11</f>
        <v>m3</v>
      </c>
      <c r="D12" s="159">
        <f>结算审核明细表!D13</f>
        <v>0.84</v>
      </c>
      <c r="E12" s="160">
        <f>结算审核明细表!I13</f>
        <v>0</v>
      </c>
      <c r="F12" s="161">
        <f ca="1">工程量计算稿!E11</f>
        <v>0</v>
      </c>
      <c r="G12" s="162">
        <f ca="1" t="shared" si="0"/>
        <v>-0.84</v>
      </c>
      <c r="H12" s="162">
        <f ca="1" t="shared" si="1"/>
        <v>0</v>
      </c>
      <c r="I12" s="179"/>
      <c r="J12" s="184" t="s">
        <v>84</v>
      </c>
      <c r="K12" s="180">
        <f ca="1">G12+G21+G22+G35+G36+G55+G68+G77+G78+G97+G109+G126</f>
        <v>3016.57591233</v>
      </c>
      <c r="L12" s="180">
        <f ca="1">H12+H21+H22+H35+H36+H55+H68+H77+H78+H97+H109+H126</f>
        <v>3027.37591233</v>
      </c>
    </row>
    <row r="13" s="122" customFormat="1" ht="16.5" customHeight="1" spans="1:12">
      <c r="A13" s="157">
        <f>工程量计算稿!A12</f>
        <v>4</v>
      </c>
      <c r="B13" s="114" t="str">
        <f>工程量计算稿!B12</f>
        <v>M7.5浆砌页岩砖</v>
      </c>
      <c r="C13" s="158" t="str">
        <f>工程量计算稿!C12</f>
        <v>m3</v>
      </c>
      <c r="D13" s="159">
        <f>结算审核明细表!D14</f>
        <v>1.9</v>
      </c>
      <c r="E13" s="160">
        <f>结算审核明细表!I14</f>
        <v>0.6</v>
      </c>
      <c r="F13" s="161">
        <f ca="1">工程量计算稿!E12</f>
        <v>0.53061</v>
      </c>
      <c r="G13" s="162">
        <f ca="1" t="shared" si="0"/>
        <v>-1.36939</v>
      </c>
      <c r="H13" s="162">
        <f ca="1" t="shared" si="1"/>
        <v>-0.06939</v>
      </c>
      <c r="I13" s="179"/>
      <c r="J13" s="185" t="str">
        <f>B13</f>
        <v>M7.5浆砌页岩砖</v>
      </c>
      <c r="K13" s="180">
        <f ca="1">G13+G28+G42+G56+G69+G84+G98+G111</f>
        <v>-40.910211</v>
      </c>
      <c r="L13" s="180">
        <f ca="1">H13+H28+H42+H56+H69+H84+H98+H111</f>
        <v>-8.600211</v>
      </c>
    </row>
    <row r="14" s="122" customFormat="1" ht="16.5" customHeight="1" spans="1:12">
      <c r="A14" s="157">
        <f>工程量计算稿!A13</f>
        <v>5</v>
      </c>
      <c r="B14" s="114" t="str">
        <f>工程量计算稿!B13</f>
        <v>预制盖板C20砼</v>
      </c>
      <c r="C14" s="158" t="str">
        <f>工程量计算稿!C13</f>
        <v>m3</v>
      </c>
      <c r="D14" s="159">
        <f>结算审核明细表!D15</f>
        <v>0.32</v>
      </c>
      <c r="E14" s="160">
        <f>结算审核明细表!I15</f>
        <v>0.072</v>
      </c>
      <c r="F14" s="161">
        <f ca="1">工程量计算稿!E13</f>
        <v>0.08496</v>
      </c>
      <c r="G14" s="162">
        <f ca="1" t="shared" si="0"/>
        <v>-0.23504</v>
      </c>
      <c r="H14" s="162">
        <f ca="1" t="shared" si="1"/>
        <v>0.01296</v>
      </c>
      <c r="I14" s="179"/>
      <c r="J14" s="185" t="s">
        <v>85</v>
      </c>
      <c r="K14" s="180">
        <f ca="1">G14+G48+G70+G92</f>
        <v>2.63421</v>
      </c>
      <c r="L14" s="180">
        <f ca="1">H14+H48+H70+H92</f>
        <v>6.48621</v>
      </c>
    </row>
    <row r="15" s="122" customFormat="1" ht="16.5" customHeight="1" spans="1:12">
      <c r="A15" s="157">
        <f>工程量计算稿!A14</f>
        <v>6</v>
      </c>
      <c r="B15" s="114" t="str">
        <f>工程量计算稿!B14</f>
        <v>盖板钢筋制安</v>
      </c>
      <c r="C15" s="158" t="str">
        <f>工程量计算稿!C14</f>
        <v>t</v>
      </c>
      <c r="D15" s="159">
        <f>结算审核明细表!D16</f>
        <v>0.0054</v>
      </c>
      <c r="E15" s="160">
        <f>结算审核明细表!I16</f>
        <v>0.02</v>
      </c>
      <c r="F15" s="161">
        <f ca="1">工程量计算稿!E14</f>
        <v>0.01296934</v>
      </c>
      <c r="G15" s="162">
        <f ca="1" t="shared" si="0"/>
        <v>0.00756934</v>
      </c>
      <c r="H15" s="162">
        <f ca="1" t="shared" si="1"/>
        <v>-0.00703066</v>
      </c>
      <c r="I15" s="179"/>
      <c r="J15" s="185" t="s">
        <v>86</v>
      </c>
      <c r="K15" s="186">
        <f ca="1">G15+G25+G39+G58+G71+G81+G100+G114+G29+G43+G85</f>
        <v>-0.98209553</v>
      </c>
      <c r="L15" s="186">
        <f ca="1">H15+H25+H39+H58+H71+H81+H100+H114+H29+H43+H85</f>
        <v>-0.0983955299999999</v>
      </c>
    </row>
    <row r="16" s="122" customFormat="1" ht="16.5" customHeight="1" spans="1:12">
      <c r="A16" s="157">
        <f>工程量计算稿!A15</f>
        <v>7</v>
      </c>
      <c r="B16" s="114" t="str">
        <f>工程量计算稿!B15</f>
        <v>M10砂浆抹面</v>
      </c>
      <c r="C16" s="158" t="str">
        <f>工程量计算稿!C15</f>
        <v>m2</v>
      </c>
      <c r="D16" s="159">
        <f>结算审核明细表!D17</f>
        <v>15.76</v>
      </c>
      <c r="E16" s="160">
        <f>结算审核明细表!I17</f>
        <v>10.8</v>
      </c>
      <c r="F16" s="161">
        <f ca="1">工程量计算稿!E15</f>
        <v>5.2812</v>
      </c>
      <c r="G16" s="162">
        <f ca="1" t="shared" si="0"/>
        <v>-10.4788</v>
      </c>
      <c r="H16" s="162">
        <f ca="1" t="shared" si="1"/>
        <v>-5.5188</v>
      </c>
      <c r="I16" s="179"/>
      <c r="J16" s="185" t="str">
        <f>B16</f>
        <v>M10砂浆抹面</v>
      </c>
      <c r="K16" s="180">
        <f ca="1">G16+G26+G40+G60+G72+G82+G102+G112</f>
        <v>-643.387112</v>
      </c>
      <c r="L16" s="180">
        <f ca="1">H16+H26+H40+H60+H72+H82+H102+H112</f>
        <v>-40.487112</v>
      </c>
    </row>
    <row r="17" s="122" customFormat="1" ht="16.5" customHeight="1" spans="1:12">
      <c r="A17" s="157">
        <f>工程量计算稿!A16</f>
        <v>8</v>
      </c>
      <c r="B17" s="114" t="str">
        <f>工程量计算稿!B16</f>
        <v>人力二次转运材料（500元/t/km,运距0.1km）</v>
      </c>
      <c r="C17" s="158" t="str">
        <f>工程量计算稿!C16</f>
        <v>t</v>
      </c>
      <c r="D17" s="159">
        <f>结算审核明细表!D18</f>
        <v>6</v>
      </c>
      <c r="E17" s="160">
        <f>结算审核明细表!I18</f>
        <v>4</v>
      </c>
      <c r="F17" s="161"/>
      <c r="G17" s="162"/>
      <c r="H17" s="162"/>
      <c r="I17" s="179" t="s">
        <v>87</v>
      </c>
      <c r="J17" s="131"/>
      <c r="K17" s="180"/>
      <c r="L17" s="180"/>
    </row>
    <row r="18" s="122" customFormat="1" ht="16.5" customHeight="1" spans="1:12">
      <c r="A18" s="163" t="str">
        <f>工程量计算稿!A17</f>
        <v>（二）</v>
      </c>
      <c r="B18" s="164" t="str">
        <f>工程量计算稿!B17</f>
        <v>新建80方清水池</v>
      </c>
      <c r="C18" s="165" t="str">
        <f>工程量计算稿!C17</f>
        <v>座</v>
      </c>
      <c r="D18" s="166"/>
      <c r="E18" s="167"/>
      <c r="F18" s="168"/>
      <c r="G18" s="169"/>
      <c r="H18" s="169"/>
      <c r="I18" s="181"/>
      <c r="J18" s="131"/>
      <c r="K18" s="180"/>
      <c r="L18" s="180"/>
    </row>
    <row r="19" s="122" customFormat="1" ht="16.5" customHeight="1" spans="1:12">
      <c r="A19" s="157">
        <f>工程量计算稿!A18</f>
        <v>1</v>
      </c>
      <c r="B19" s="114" t="str">
        <f>工程量计算稿!B18</f>
        <v>土方开挖</v>
      </c>
      <c r="C19" s="158" t="str">
        <f>工程量计算稿!C18</f>
        <v>m3</v>
      </c>
      <c r="D19" s="159">
        <f>结算审核明细表!D25</f>
        <v>23.89</v>
      </c>
      <c r="E19" s="160">
        <f>结算审核明细表!I25</f>
        <v>47.7</v>
      </c>
      <c r="F19" s="161">
        <f ca="1">工程量计算稿!E18</f>
        <v>39.521177465</v>
      </c>
      <c r="G19" s="162">
        <f ca="1" t="shared" si="0"/>
        <v>15.631177465</v>
      </c>
      <c r="H19" s="162">
        <f ca="1" t="shared" si="1"/>
        <v>-8.178822535</v>
      </c>
      <c r="I19" s="179"/>
      <c r="J19" s="185"/>
      <c r="K19" s="180"/>
      <c r="L19" s="180"/>
    </row>
    <row r="20" s="122" customFormat="1" ht="16.5" customHeight="1" spans="1:12">
      <c r="A20" s="157">
        <f>工程量计算稿!A19</f>
        <v>2</v>
      </c>
      <c r="B20" s="114" t="str">
        <f>工程量计算稿!B19</f>
        <v>石方开挖</v>
      </c>
      <c r="C20" s="158" t="str">
        <f>工程量计算稿!C19</f>
        <v>m3</v>
      </c>
      <c r="D20" s="159">
        <f>结算审核明细表!D26</f>
        <v>95.56</v>
      </c>
      <c r="E20" s="160">
        <f>结算审核明细表!I26</f>
        <v>20.44</v>
      </c>
      <c r="F20" s="161">
        <f ca="1">工程量计算稿!E19</f>
        <v>16.937647485</v>
      </c>
      <c r="G20" s="162">
        <f ca="1" t="shared" si="0"/>
        <v>-78.622352515</v>
      </c>
      <c r="H20" s="162">
        <f ca="1" t="shared" si="1"/>
        <v>-3.502352515</v>
      </c>
      <c r="I20" s="179"/>
      <c r="J20" s="185"/>
      <c r="K20" s="180"/>
      <c r="L20" s="180"/>
    </row>
    <row r="21" s="122" customFormat="1" ht="16.5" customHeight="1" spans="1:12">
      <c r="A21" s="157">
        <f>工程量计算稿!A20</f>
        <v>3</v>
      </c>
      <c r="B21" s="114" t="str">
        <f>工程量计算稿!B20</f>
        <v>土方回填</v>
      </c>
      <c r="C21" s="158" t="str">
        <f>工程量计算稿!C20</f>
        <v>m3</v>
      </c>
      <c r="D21" s="159">
        <f>结算审核明细表!D27</f>
        <v>35.84</v>
      </c>
      <c r="E21" s="160">
        <f>结算审核明细表!I27</f>
        <v>34.93</v>
      </c>
      <c r="F21" s="161">
        <f ca="1">工程量计算稿!E20</f>
        <v>26.99648127</v>
      </c>
      <c r="G21" s="162">
        <f ca="1" t="shared" si="0"/>
        <v>-8.84351873</v>
      </c>
      <c r="H21" s="162">
        <f ca="1" t="shared" si="1"/>
        <v>-7.93351873</v>
      </c>
      <c r="I21" s="179"/>
      <c r="J21" s="185"/>
      <c r="K21" s="186"/>
      <c r="L21" s="186"/>
    </row>
    <row r="22" s="122" customFormat="1" ht="16.5" customHeight="1" spans="1:12">
      <c r="A22" s="157">
        <f>工程量计算稿!A21</f>
        <v>4</v>
      </c>
      <c r="B22" s="114" t="str">
        <f>工程量计算稿!B21</f>
        <v>30cm厚覆土</v>
      </c>
      <c r="C22" s="158" t="str">
        <f>工程量计算稿!C21</f>
        <v>m3</v>
      </c>
      <c r="D22" s="159">
        <f>结算审核明细表!D28</f>
        <v>8.48</v>
      </c>
      <c r="E22" s="160">
        <f>结算审核明细表!I28</f>
        <v>4.98</v>
      </c>
      <c r="F22" s="161">
        <f ca="1">工程量计算稿!E21</f>
        <v>2.90293</v>
      </c>
      <c r="G22" s="162">
        <f ca="1" t="shared" si="0"/>
        <v>-5.57707</v>
      </c>
      <c r="H22" s="162">
        <f ca="1" t="shared" si="1"/>
        <v>-2.07707</v>
      </c>
      <c r="I22" s="179"/>
      <c r="J22" s="185"/>
      <c r="K22" s="180"/>
      <c r="L22" s="180"/>
    </row>
    <row r="23" s="122" customFormat="1" ht="16.5" customHeight="1" spans="1:12">
      <c r="A23" s="157">
        <f>工程量计算稿!A22</f>
        <v>5</v>
      </c>
      <c r="B23" s="114" t="str">
        <f>工程量计算稿!B22</f>
        <v>C25混凝土浇筑</v>
      </c>
      <c r="C23" s="158" t="str">
        <f>工程量计算稿!C22</f>
        <v>m3</v>
      </c>
      <c r="D23" s="159">
        <f>结算审核明细表!D29</f>
        <v>13.16</v>
      </c>
      <c r="E23" s="160">
        <f>结算审核明细表!I29</f>
        <v>8.62</v>
      </c>
      <c r="F23" s="161">
        <f ca="1">工程量计算稿!E22</f>
        <v>8.2833631</v>
      </c>
      <c r="G23" s="162">
        <f ca="1" t="shared" si="0"/>
        <v>-4.8766369</v>
      </c>
      <c r="H23" s="162">
        <f ca="1" t="shared" si="1"/>
        <v>-0.3366369</v>
      </c>
      <c r="I23" s="179"/>
      <c r="J23" s="185" t="s">
        <v>88</v>
      </c>
      <c r="K23" s="180">
        <f ca="1">G23+G37+G57+G79+G99+G110+G120</f>
        <v>-16.1609324</v>
      </c>
      <c r="L23" s="180">
        <f ca="1">H23+H37+H57+H79+H99+H110+H120</f>
        <v>-3.6809324</v>
      </c>
    </row>
    <row r="24" s="122" customFormat="1" ht="16.5" customHeight="1" spans="1:12">
      <c r="A24" s="157">
        <f>工程量计算稿!A27</f>
        <v>6</v>
      </c>
      <c r="B24" s="114" t="str">
        <f>工程量计算稿!B27</f>
        <v>模板制安</v>
      </c>
      <c r="C24" s="158" t="str">
        <f>工程量计算稿!C27</f>
        <v>m2</v>
      </c>
      <c r="D24" s="159">
        <f>结算审核明细表!D30</f>
        <v>43.23</v>
      </c>
      <c r="E24" s="160">
        <f>结算审核明细表!I30</f>
        <v>16.61</v>
      </c>
      <c r="F24" s="161">
        <f ca="1">工程量计算稿!E27</f>
        <v>15.077966</v>
      </c>
      <c r="G24" s="162">
        <f ca="1" t="shared" si="0"/>
        <v>-28.152034</v>
      </c>
      <c r="H24" s="162">
        <f ca="1" t="shared" si="1"/>
        <v>-1.532034</v>
      </c>
      <c r="I24" s="179"/>
      <c r="J24" s="185" t="s">
        <v>89</v>
      </c>
      <c r="K24" s="180">
        <f ca="1">G24+G38+G80+G115</f>
        <v>-31.49907</v>
      </c>
      <c r="L24" s="180">
        <f ca="1">H24+H38+H80+H115</f>
        <v>-6.55907000000001</v>
      </c>
    </row>
    <row r="25" s="122" customFormat="1" ht="16.5" customHeight="1" spans="1:12">
      <c r="A25" s="157">
        <f>工程量计算稿!A28</f>
        <v>7</v>
      </c>
      <c r="B25" s="114" t="str">
        <f>工程量计算稿!B28</f>
        <v>钢筋制安</v>
      </c>
      <c r="C25" s="158" t="str">
        <f>工程量计算稿!C28</f>
        <v>t</v>
      </c>
      <c r="D25" s="170">
        <f>结算审核明细表!D31</f>
        <v>0.66</v>
      </c>
      <c r="E25" s="171">
        <f>结算审核明细表!I31</f>
        <v>0.6</v>
      </c>
      <c r="F25" s="172">
        <f ca="1">工程量计算稿!E28</f>
        <v>0.5335812</v>
      </c>
      <c r="G25" s="173">
        <f ca="1" t="shared" si="0"/>
        <v>-0.1264188</v>
      </c>
      <c r="H25" s="173">
        <f ca="1" t="shared" si="1"/>
        <v>-0.0664188</v>
      </c>
      <c r="I25" s="179"/>
      <c r="J25" s="185"/>
      <c r="K25" s="180"/>
      <c r="L25" s="180"/>
    </row>
    <row r="26" s="122" customFormat="1" ht="16.5" customHeight="1" spans="1:12">
      <c r="A26" s="157">
        <f>工程量计算稿!A29</f>
        <v>8</v>
      </c>
      <c r="B26" s="114" t="str">
        <f>工程量计算稿!B29</f>
        <v>M10砂浆抹面</v>
      </c>
      <c r="C26" s="158" t="str">
        <f>工程量计算稿!C29</f>
        <v>m2</v>
      </c>
      <c r="D26" s="159">
        <f>结算审核明细表!D32</f>
        <v>224.51</v>
      </c>
      <c r="E26" s="160">
        <f>结算审核明细表!I32</f>
        <v>98.25</v>
      </c>
      <c r="F26" s="161">
        <f ca="1">工程量计算稿!E29</f>
        <v>93.325568</v>
      </c>
      <c r="G26" s="162">
        <f ca="1" t="shared" si="0"/>
        <v>-131.184432</v>
      </c>
      <c r="H26" s="162">
        <f ca="1" t="shared" si="1"/>
        <v>-4.92443199999998</v>
      </c>
      <c r="I26" s="179"/>
      <c r="J26" s="185"/>
      <c r="K26" s="180"/>
      <c r="L26" s="180"/>
    </row>
    <row r="27" s="122" customFormat="1" ht="17" customHeight="1" spans="1:12">
      <c r="A27" s="157">
        <f>工程量计算稿!A34</f>
        <v>9</v>
      </c>
      <c r="B27" s="114" t="str">
        <f>工程量计算稿!B34</f>
        <v>池壁贴瓷砖</v>
      </c>
      <c r="C27" s="158" t="str">
        <f>工程量计算稿!C34</f>
        <v>m2</v>
      </c>
      <c r="D27" s="159">
        <f>结算审核明细表!D33</f>
        <v>14.24</v>
      </c>
      <c r="E27" s="160">
        <f>结算审核明细表!I33</f>
        <v>23.86</v>
      </c>
      <c r="F27" s="161">
        <f ca="1">工程量计算稿!E34</f>
        <v>31.64988</v>
      </c>
      <c r="G27" s="162">
        <f ca="1" t="shared" si="0"/>
        <v>17.40988</v>
      </c>
      <c r="H27" s="162">
        <f ca="1" t="shared" si="1"/>
        <v>7.78988</v>
      </c>
      <c r="I27" s="179"/>
      <c r="J27" s="185" t="s">
        <v>90</v>
      </c>
      <c r="K27" s="180">
        <f ca="1">G27+G41+G59+G83+G101</f>
        <v>-151.84172</v>
      </c>
      <c r="L27" s="180">
        <f ca="1">H27+H41+H59+H83+H101</f>
        <v>-0.941719999999997</v>
      </c>
    </row>
    <row r="28" s="122" customFormat="1" ht="16.5" customHeight="1" spans="1:12">
      <c r="A28" s="157">
        <f>工程量计算稿!A38</f>
        <v>10</v>
      </c>
      <c r="B28" s="114" t="str">
        <f>工程量计算稿!B38</f>
        <v>M7.5浆砌页岩砖</v>
      </c>
      <c r="C28" s="158" t="str">
        <f>工程量计算稿!C38</f>
        <v>m3</v>
      </c>
      <c r="D28" s="159">
        <f>结算审核明细表!D34</f>
        <v>16.85</v>
      </c>
      <c r="E28" s="160">
        <f>结算审核明细表!I34</f>
        <v>16.15</v>
      </c>
      <c r="F28" s="161">
        <f ca="1">工程量计算稿!E38</f>
        <v>12.1198924</v>
      </c>
      <c r="G28" s="162">
        <f ca="1" t="shared" si="0"/>
        <v>-4.7301076</v>
      </c>
      <c r="H28" s="162">
        <f ca="1" t="shared" si="1"/>
        <v>-4.0301076</v>
      </c>
      <c r="I28" s="176"/>
      <c r="J28" s="185"/>
      <c r="K28" s="180"/>
      <c r="L28" s="180"/>
    </row>
    <row r="29" s="122" customFormat="1" ht="16.5" customHeight="1" spans="1:12">
      <c r="A29" s="157">
        <f>工程量计算稿!A43</f>
        <v>11</v>
      </c>
      <c r="B29" s="114" t="str">
        <f>工程量计算稿!B43</f>
        <v>铁梯制安</v>
      </c>
      <c r="C29" s="158" t="str">
        <f>工程量计算稿!C43</f>
        <v>t</v>
      </c>
      <c r="D29" s="159">
        <f>结算审核明细表!D35</f>
        <v>0.01</v>
      </c>
      <c r="E29" s="160">
        <f>结算审核明细表!I35</f>
        <v>0.01</v>
      </c>
      <c r="F29" s="161">
        <f ca="1">工程量计算稿!E43</f>
        <v>0</v>
      </c>
      <c r="G29" s="162">
        <f ca="1" t="shared" si="0"/>
        <v>-0.01</v>
      </c>
      <c r="H29" s="162">
        <f ca="1" t="shared" si="1"/>
        <v>-0.01</v>
      </c>
      <c r="I29" s="176"/>
      <c r="J29" s="185"/>
      <c r="K29" s="131"/>
      <c r="L29" s="131"/>
    </row>
    <row r="30" s="122" customFormat="1" ht="16.5" customHeight="1" spans="1:12">
      <c r="A30" s="157">
        <f>工程量计算稿!A44</f>
        <v>12</v>
      </c>
      <c r="B30" s="114" t="str">
        <f>工程量计算稿!B44</f>
        <v>通气、进人孔</v>
      </c>
      <c r="C30" s="158" t="str">
        <f>工程量计算稿!C44</f>
        <v>套</v>
      </c>
      <c r="D30" s="159">
        <f>结算审核明细表!D36</f>
        <v>1</v>
      </c>
      <c r="E30" s="160">
        <f>结算审核明细表!I36</f>
        <v>1</v>
      </c>
      <c r="F30" s="161">
        <f ca="1">工程量计算稿!E44</f>
        <v>1</v>
      </c>
      <c r="G30" s="162">
        <f ca="1" t="shared" si="0"/>
        <v>0</v>
      </c>
      <c r="H30" s="162">
        <f ca="1" t="shared" si="1"/>
        <v>0</v>
      </c>
      <c r="I30" s="179"/>
      <c r="J30" s="185" t="str">
        <f>B30</f>
        <v>通气、进人孔</v>
      </c>
      <c r="K30" s="131">
        <f ca="1">G30+G44+G86</f>
        <v>0</v>
      </c>
      <c r="L30" s="131">
        <f ca="1">H30+H44+H86</f>
        <v>0</v>
      </c>
    </row>
    <row r="31" s="122" customFormat="1" ht="16.5" customHeight="1" spans="1:12">
      <c r="A31" s="157">
        <f>工程量计算稿!A45</f>
        <v>13</v>
      </c>
      <c r="B31" s="114" t="str">
        <f>工程量计算稿!B45</f>
        <v>人力二次转运材料（500元/t/km,运距0.2km）</v>
      </c>
      <c r="C31" s="158" t="str">
        <f>工程量计算稿!C45</f>
        <v>t</v>
      </c>
      <c r="D31" s="159">
        <f>结算审核明细表!D37</f>
        <v>74</v>
      </c>
      <c r="E31" s="160">
        <f>结算审核明细表!I37</f>
        <v>50</v>
      </c>
      <c r="F31" s="161"/>
      <c r="G31" s="162"/>
      <c r="H31" s="162"/>
      <c r="I31" s="179" t="s">
        <v>87</v>
      </c>
      <c r="J31" s="131"/>
      <c r="K31" s="131"/>
      <c r="L31" s="131"/>
    </row>
    <row r="32" s="122" customFormat="1" ht="16.5" customHeight="1" spans="1:12">
      <c r="A32" s="163" t="str">
        <f>工程量计算稿!A46</f>
        <v>（三）</v>
      </c>
      <c r="B32" s="164" t="str">
        <f>工程量计算稿!B46</f>
        <v>新建100方清水池</v>
      </c>
      <c r="C32" s="165"/>
      <c r="D32" s="166"/>
      <c r="E32" s="167"/>
      <c r="F32" s="168"/>
      <c r="G32" s="169"/>
      <c r="H32" s="169"/>
      <c r="I32" s="181"/>
      <c r="J32" s="131"/>
      <c r="K32" s="131"/>
      <c r="L32" s="131"/>
    </row>
    <row r="33" s="122" customFormat="1" ht="16.5" customHeight="1" spans="1:12">
      <c r="A33" s="157">
        <f>工程量计算稿!A47</f>
        <v>1</v>
      </c>
      <c r="B33" s="114" t="str">
        <f>工程量计算稿!B47</f>
        <v>土方开挖</v>
      </c>
      <c r="C33" s="158" t="str">
        <f>工程量计算稿!C47</f>
        <v>m3</v>
      </c>
      <c r="D33" s="159">
        <f>结算审核明细表!D44</f>
        <v>31</v>
      </c>
      <c r="E33" s="160">
        <f>结算审核明细表!I44</f>
        <v>29.72</v>
      </c>
      <c r="F33" s="161">
        <f ca="1">工程量计算稿!E47</f>
        <v>29.721984</v>
      </c>
      <c r="G33" s="162">
        <f ca="1" t="shared" si="0"/>
        <v>-1.278016</v>
      </c>
      <c r="H33" s="162">
        <f ca="1" t="shared" si="1"/>
        <v>0.00198400000000021</v>
      </c>
      <c r="I33" s="179"/>
      <c r="J33" s="185"/>
      <c r="K33" s="180"/>
      <c r="L33" s="180"/>
    </row>
    <row r="34" s="122" customFormat="1" ht="16.5" customHeight="1" spans="1:12">
      <c r="A34" s="157">
        <f>工程量计算稿!A48</f>
        <v>2</v>
      </c>
      <c r="B34" s="114" t="str">
        <f>工程量计算稿!B48</f>
        <v>石方开挖</v>
      </c>
      <c r="C34" s="158" t="str">
        <f>工程量计算稿!C48</f>
        <v>m3</v>
      </c>
      <c r="D34" s="159">
        <f>结算审核明细表!D45</f>
        <v>124.02</v>
      </c>
      <c r="E34" s="160">
        <f>结算审核明细表!I45</f>
        <v>118.89</v>
      </c>
      <c r="F34" s="161">
        <f ca="1">工程量计算稿!E48</f>
        <v>118.887936</v>
      </c>
      <c r="G34" s="162">
        <f ca="1" t="shared" si="0"/>
        <v>-5.132064</v>
      </c>
      <c r="H34" s="162">
        <f ca="1" t="shared" si="1"/>
        <v>-0.00206400000000428</v>
      </c>
      <c r="I34" s="179"/>
      <c r="J34" s="185"/>
      <c r="K34" s="131"/>
      <c r="L34" s="131"/>
    </row>
    <row r="35" s="122" customFormat="1" ht="16.5" customHeight="1" spans="1:12">
      <c r="A35" s="157">
        <f>工程量计算稿!A49</f>
        <v>3</v>
      </c>
      <c r="B35" s="114" t="str">
        <f>工程量计算稿!B49</f>
        <v>土方回填</v>
      </c>
      <c r="C35" s="158" t="str">
        <f>工程量计算稿!C49</f>
        <v>m3</v>
      </c>
      <c r="D35" s="159">
        <f>结算审核明细表!D46</f>
        <v>46.51</v>
      </c>
      <c r="E35" s="160">
        <f>结算审核明细表!I46</f>
        <v>51.98</v>
      </c>
      <c r="F35" s="161">
        <f ca="1">工程量计算稿!E49</f>
        <v>42.63492</v>
      </c>
      <c r="G35" s="162">
        <f ca="1" t="shared" si="0"/>
        <v>-3.87508</v>
      </c>
      <c r="H35" s="162">
        <f ca="1" t="shared" si="1"/>
        <v>-9.34508</v>
      </c>
      <c r="I35" s="179"/>
      <c r="J35" s="185"/>
      <c r="K35" s="131"/>
      <c r="L35" s="131"/>
    </row>
    <row r="36" s="122" customFormat="1" ht="16.5" customHeight="1" spans="1:12">
      <c r="A36" s="157">
        <f>工程量计算稿!A50</f>
        <v>4</v>
      </c>
      <c r="B36" s="114" t="str">
        <f>工程量计算稿!B50</f>
        <v>30cm厚覆土</v>
      </c>
      <c r="C36" s="158" t="str">
        <f>工程量计算稿!C50</f>
        <v>m3</v>
      </c>
      <c r="D36" s="159">
        <f>结算审核明细表!D47</f>
        <v>11.54</v>
      </c>
      <c r="E36" s="160">
        <f>结算审核明细表!I47</f>
        <v>11.54</v>
      </c>
      <c r="F36" s="161">
        <f ca="1">工程量计算稿!E50</f>
        <v>11.6055342</v>
      </c>
      <c r="G36" s="162">
        <f ca="1" t="shared" si="0"/>
        <v>0.0655342000000001</v>
      </c>
      <c r="H36" s="162">
        <f ca="1" t="shared" si="1"/>
        <v>0.0655342000000001</v>
      </c>
      <c r="I36" s="179"/>
      <c r="J36" s="185"/>
      <c r="K36" s="131"/>
      <c r="L36" s="131"/>
    </row>
    <row r="37" s="122" customFormat="1" ht="16.5" customHeight="1" spans="1:12">
      <c r="A37" s="157">
        <f>工程量计算稿!A51</f>
        <v>5</v>
      </c>
      <c r="B37" s="114" t="str">
        <f>工程量计算稿!B51</f>
        <v>C25混凝土浇筑</v>
      </c>
      <c r="C37" s="158" t="str">
        <f>工程量计算稿!C51</f>
        <v>m3</v>
      </c>
      <c r="D37" s="159">
        <f>结算审核明细表!D48</f>
        <v>17.19</v>
      </c>
      <c r="E37" s="160">
        <f>结算审核明细表!I48</f>
        <v>17.38</v>
      </c>
      <c r="F37" s="161">
        <f ca="1">工程量计算稿!E51</f>
        <v>17.6669275</v>
      </c>
      <c r="G37" s="162">
        <f ca="1" t="shared" si="0"/>
        <v>0.476927499999999</v>
      </c>
      <c r="H37" s="162">
        <f ca="1" t="shared" si="1"/>
        <v>0.286927500000001</v>
      </c>
      <c r="I37" s="179"/>
      <c r="J37" s="185"/>
      <c r="K37" s="131"/>
      <c r="L37" s="131"/>
    </row>
    <row r="38" s="123" customFormat="1" ht="16.5" customHeight="1" spans="1:12">
      <c r="A38" s="157">
        <f>工程量计算稿!A57</f>
        <v>6</v>
      </c>
      <c r="B38" s="114" t="str">
        <f>工程量计算稿!B57</f>
        <v>模板制安</v>
      </c>
      <c r="C38" s="158" t="str">
        <f>工程量计算稿!C57</f>
        <v>m2</v>
      </c>
      <c r="D38" s="159">
        <f>结算审核明细表!D49</f>
        <v>43.92</v>
      </c>
      <c r="E38" s="160">
        <f>结算审核明细表!I49</f>
        <v>56.97</v>
      </c>
      <c r="F38" s="161">
        <f ca="1">工程量计算稿!E57</f>
        <v>59.205614</v>
      </c>
      <c r="G38" s="162">
        <f ca="1" t="shared" si="0"/>
        <v>15.285614</v>
      </c>
      <c r="H38" s="162">
        <f ca="1" t="shared" si="1"/>
        <v>2.235614</v>
      </c>
      <c r="I38" s="176"/>
      <c r="J38" s="185"/>
      <c r="K38" s="131"/>
      <c r="L38" s="131"/>
    </row>
    <row r="39" s="123" customFormat="1" ht="16.5" customHeight="1" spans="1:12">
      <c r="A39" s="157">
        <f>工程量计算稿!A61</f>
        <v>7</v>
      </c>
      <c r="B39" s="114" t="str">
        <f>工程量计算稿!B61</f>
        <v>钢筋制安</v>
      </c>
      <c r="C39" s="158" t="str">
        <f>工程量计算稿!C61</f>
        <v>t</v>
      </c>
      <c r="D39" s="159">
        <f>结算审核明细表!D50</f>
        <v>0.86</v>
      </c>
      <c r="E39" s="160">
        <f>结算审核明细表!I50</f>
        <v>0.7</v>
      </c>
      <c r="F39" s="161">
        <f ca="1">工程量计算稿!E61</f>
        <v>0.63871536</v>
      </c>
      <c r="G39" s="173">
        <f ca="1" t="shared" si="0"/>
        <v>-0.22128464</v>
      </c>
      <c r="H39" s="173">
        <f ca="1" t="shared" si="1"/>
        <v>-0.0612846399999999</v>
      </c>
      <c r="I39" s="179"/>
      <c r="J39" s="185"/>
      <c r="K39" s="131"/>
      <c r="L39" s="131"/>
    </row>
    <row r="40" s="123" customFormat="1" ht="16.5" customHeight="1" spans="1:12">
      <c r="A40" s="157">
        <f>工程量计算稿!A62</f>
        <v>8</v>
      </c>
      <c r="B40" s="114" t="str">
        <f>工程量计算稿!B62</f>
        <v>M10砂浆抹面</v>
      </c>
      <c r="C40" s="158" t="str">
        <f>工程量计算稿!C62</f>
        <v>m2</v>
      </c>
      <c r="D40" s="159">
        <f>结算审核明细表!D51</f>
        <v>278.11</v>
      </c>
      <c r="E40" s="160">
        <f>结算审核明细表!I51</f>
        <v>92.93</v>
      </c>
      <c r="F40" s="161">
        <f ca="1">工程量计算稿!E62</f>
        <v>103.43096</v>
      </c>
      <c r="G40" s="162">
        <f ca="1" t="shared" ref="G40:G72" si="2">F40-D40</f>
        <v>-174.67904</v>
      </c>
      <c r="H40" s="162">
        <f ca="1" t="shared" ref="H40:H72" si="3">F40-E40</f>
        <v>10.50096</v>
      </c>
      <c r="I40" s="179"/>
      <c r="J40" s="185"/>
      <c r="K40" s="131"/>
      <c r="L40" s="131"/>
    </row>
    <row r="41" s="123" customFormat="1" ht="16.5" customHeight="1" spans="1:12">
      <c r="A41" s="157">
        <f>工程量计算稿!A63</f>
        <v>9</v>
      </c>
      <c r="B41" s="114" t="str">
        <f>工程量计算稿!B63</f>
        <v>池壁贴瓷砖</v>
      </c>
      <c r="C41" s="158" t="str">
        <f>工程量计算稿!C63</f>
        <v>m2</v>
      </c>
      <c r="D41" s="159">
        <f>结算审核明细表!D52</f>
        <v>16.44</v>
      </c>
      <c r="E41" s="160">
        <f>结算审核明细表!I52</f>
        <v>26.31</v>
      </c>
      <c r="F41" s="161">
        <f ca="1">工程量计算稿!E63</f>
        <v>32.696</v>
      </c>
      <c r="G41" s="162">
        <f ca="1" t="shared" si="2"/>
        <v>16.256</v>
      </c>
      <c r="H41" s="162">
        <f ca="1" t="shared" si="3"/>
        <v>6.38600000000001</v>
      </c>
      <c r="I41" s="179"/>
      <c r="J41" s="185"/>
      <c r="K41" s="131"/>
      <c r="L41" s="131"/>
    </row>
    <row r="42" s="123" customFormat="1" ht="16.5" customHeight="1" spans="1:12">
      <c r="A42" s="157">
        <f>工程量计算稿!A64</f>
        <v>10</v>
      </c>
      <c r="B42" s="114" t="str">
        <f>工程量计算稿!B64</f>
        <v>M7.5浆砌页岩砖</v>
      </c>
      <c r="C42" s="158" t="str">
        <f>工程量计算稿!C64</f>
        <v>m3</v>
      </c>
      <c r="D42" s="159">
        <f>结算审核明细表!D53</f>
        <v>19.45</v>
      </c>
      <c r="E42" s="160">
        <f>结算审核明细表!I53</f>
        <v>16.35</v>
      </c>
      <c r="F42" s="161">
        <f ca="1">工程量计算稿!E64</f>
        <v>17.7246498</v>
      </c>
      <c r="G42" s="162">
        <f ca="1" t="shared" si="2"/>
        <v>-1.7253502</v>
      </c>
      <c r="H42" s="162">
        <f ca="1" t="shared" si="3"/>
        <v>1.3746498</v>
      </c>
      <c r="I42" s="179"/>
      <c r="J42" s="185"/>
      <c r="K42" s="131"/>
      <c r="L42" s="131"/>
    </row>
    <row r="43" s="123" customFormat="1" ht="16.5" customHeight="1" spans="1:12">
      <c r="A43" s="157">
        <f>工程量计算稿!A65</f>
        <v>11</v>
      </c>
      <c r="B43" s="114" t="str">
        <f>工程量计算稿!B65</f>
        <v>铁梯制安</v>
      </c>
      <c r="C43" s="158" t="str">
        <f>工程量计算稿!C65</f>
        <v>t</v>
      </c>
      <c r="D43" s="159">
        <f>结算审核明细表!D54</f>
        <v>0.01</v>
      </c>
      <c r="E43" s="160">
        <f>结算审核明细表!I54</f>
        <v>0.01</v>
      </c>
      <c r="F43" s="161">
        <f ca="1">工程量计算稿!E65</f>
        <v>0</v>
      </c>
      <c r="G43" s="162">
        <f ca="1" t="shared" si="2"/>
        <v>-0.01</v>
      </c>
      <c r="H43" s="162">
        <f ca="1" t="shared" si="3"/>
        <v>-0.01</v>
      </c>
      <c r="I43" s="179"/>
      <c r="J43" s="185"/>
      <c r="K43" s="131"/>
      <c r="L43" s="131"/>
    </row>
    <row r="44" s="123" customFormat="1" ht="16.5" customHeight="1" spans="1:12">
      <c r="A44" s="157">
        <f>工程量计算稿!A66</f>
        <v>12</v>
      </c>
      <c r="B44" s="114" t="str">
        <f>工程量计算稿!B66</f>
        <v>通气、进人孔</v>
      </c>
      <c r="C44" s="158" t="str">
        <f>工程量计算稿!C66</f>
        <v>套</v>
      </c>
      <c r="D44" s="159">
        <f>结算审核明细表!D55</f>
        <v>1</v>
      </c>
      <c r="E44" s="160">
        <f>结算审核明细表!I55</f>
        <v>1</v>
      </c>
      <c r="F44" s="161">
        <f ca="1">工程量计算稿!E66</f>
        <v>1</v>
      </c>
      <c r="G44" s="162">
        <f ca="1" t="shared" si="2"/>
        <v>0</v>
      </c>
      <c r="H44" s="162">
        <f ca="1" t="shared" si="3"/>
        <v>0</v>
      </c>
      <c r="I44" s="187"/>
      <c r="J44" s="185"/>
      <c r="K44" s="131"/>
      <c r="L44" s="131"/>
    </row>
    <row r="45" s="123" customFormat="1" ht="16.5" customHeight="1" spans="1:12">
      <c r="A45" s="157">
        <f>工程量计算稿!A67</f>
        <v>13</v>
      </c>
      <c r="B45" s="114" t="str">
        <f>工程量计算稿!B67</f>
        <v>人力二次转运材料（500元/t/km,运距0.1km）</v>
      </c>
      <c r="C45" s="158" t="str">
        <f>工程量计算稿!C67</f>
        <v>t</v>
      </c>
      <c r="D45" s="159">
        <f>结算审核明细表!D56</f>
        <v>90</v>
      </c>
      <c r="E45" s="160">
        <f>结算审核明细表!I56</f>
        <v>80</v>
      </c>
      <c r="F45" s="161"/>
      <c r="G45" s="162"/>
      <c r="H45" s="162"/>
      <c r="I45" s="179" t="s">
        <v>87</v>
      </c>
      <c r="J45" s="131"/>
      <c r="K45" s="131"/>
      <c r="L45" s="131"/>
    </row>
    <row r="46" s="123" customFormat="1" ht="16.5" customHeight="1" spans="1:12">
      <c r="A46" s="163" t="str">
        <f>工程量计算稿!A68</f>
        <v>（四）</v>
      </c>
      <c r="B46" s="164" t="str">
        <f>工程量计算稿!B68</f>
        <v>硬化带</v>
      </c>
      <c r="C46" s="165" t="str">
        <f>工程量计算稿!C68</f>
        <v>m</v>
      </c>
      <c r="D46" s="166"/>
      <c r="E46" s="167"/>
      <c r="F46" s="168"/>
      <c r="G46" s="169"/>
      <c r="H46" s="169"/>
      <c r="I46" s="181"/>
      <c r="J46" s="131"/>
      <c r="K46" s="131"/>
      <c r="L46" s="131"/>
    </row>
    <row r="47" s="123" customFormat="1" ht="16.5" customHeight="1" spans="1:12">
      <c r="A47" s="157">
        <f>工程量计算稿!A69</f>
        <v>1</v>
      </c>
      <c r="B47" s="114" t="str">
        <f>工程量计算稿!B69</f>
        <v>5cm厚砂石垫层</v>
      </c>
      <c r="C47" s="158" t="str">
        <f>工程量计算稿!C69</f>
        <v>m3</v>
      </c>
      <c r="D47" s="159">
        <f>结算审核明细表!D63</f>
        <v>2.2</v>
      </c>
      <c r="E47" s="160">
        <f>结算审核明细表!I63</f>
        <v>1.1</v>
      </c>
      <c r="F47" s="161">
        <f ca="1">工程量计算稿!E69</f>
        <v>4.3286875</v>
      </c>
      <c r="G47" s="162">
        <f ca="1" t="shared" si="2"/>
        <v>2.1286875</v>
      </c>
      <c r="H47" s="162">
        <f ca="1" t="shared" si="3"/>
        <v>3.2286875</v>
      </c>
      <c r="I47" s="179"/>
      <c r="J47" s="185" t="str">
        <f>B47</f>
        <v>5cm厚砂石垫层</v>
      </c>
      <c r="K47" s="180">
        <f ca="1">G47+G91</f>
        <v>1.4886875</v>
      </c>
      <c r="L47" s="180">
        <f ca="1">H47+H91</f>
        <v>3.2286875</v>
      </c>
    </row>
    <row r="48" s="123" customFormat="1" ht="16.5" customHeight="1" spans="1:12">
      <c r="A48" s="157">
        <f>工程量计算稿!A70</f>
        <v>2</v>
      </c>
      <c r="B48" s="114" t="str">
        <f>工程量计算稿!B70</f>
        <v>10cm厚C20砼硬化带</v>
      </c>
      <c r="C48" s="158" t="str">
        <f>工程量计算稿!C70</f>
        <v>m3</v>
      </c>
      <c r="D48" s="159">
        <f>结算审核明细表!D64</f>
        <v>4.4</v>
      </c>
      <c r="E48" s="160">
        <f>结算审核明细表!I64</f>
        <v>2.2</v>
      </c>
      <c r="F48" s="161">
        <f ca="1">工程量计算稿!E70</f>
        <v>8.657375</v>
      </c>
      <c r="G48" s="162">
        <f ca="1" t="shared" si="2"/>
        <v>4.257375</v>
      </c>
      <c r="H48" s="162">
        <f ca="1" t="shared" si="3"/>
        <v>6.457375</v>
      </c>
      <c r="I48" s="179"/>
      <c r="J48" s="185"/>
      <c r="K48" s="131"/>
      <c r="L48" s="131"/>
    </row>
    <row r="49" s="123" customFormat="1" ht="16.5" customHeight="1" spans="1:12">
      <c r="A49" s="157">
        <f>工程量计算稿!A71</f>
        <v>3</v>
      </c>
      <c r="B49" s="114" t="str">
        <f>工程量计算稿!B71</f>
        <v>人力二次转运材料（500元/t/km,运距0.2km）</v>
      </c>
      <c r="C49" s="158" t="str">
        <f>工程量计算稿!C71</f>
        <v>t</v>
      </c>
      <c r="D49" s="159">
        <f>结算审核明细表!D65</f>
        <v>14.85</v>
      </c>
      <c r="E49" s="160">
        <f>结算审核明细表!I65</f>
        <v>5</v>
      </c>
      <c r="F49" s="161"/>
      <c r="G49" s="162"/>
      <c r="H49" s="162"/>
      <c r="I49" s="179" t="s">
        <v>87</v>
      </c>
      <c r="J49" s="131"/>
      <c r="K49" s="131"/>
      <c r="L49" s="131"/>
    </row>
    <row r="50" s="123" customFormat="1" ht="16.5" customHeight="1" spans="1:12">
      <c r="A50" s="163" t="str">
        <f>工程量计算稿!A72</f>
        <v>（五）</v>
      </c>
      <c r="B50" s="164" t="str">
        <f>工程量计算稿!B72</f>
        <v>4社机压井</v>
      </c>
      <c r="C50" s="165" t="str">
        <f>工程量计算稿!C72</f>
        <v>项</v>
      </c>
      <c r="D50" s="166">
        <f>结算审核明细表!D69</f>
        <v>1</v>
      </c>
      <c r="E50" s="167">
        <f>结算审核明细表!I69</f>
        <v>0</v>
      </c>
      <c r="F50" s="168">
        <f ca="1">工程量计算稿!E72</f>
        <v>0</v>
      </c>
      <c r="G50" s="169">
        <f ca="1" t="shared" si="2"/>
        <v>-1</v>
      </c>
      <c r="H50" s="169">
        <f ca="1" t="shared" si="3"/>
        <v>0</v>
      </c>
      <c r="I50" s="181"/>
      <c r="J50" s="131"/>
      <c r="K50" s="131"/>
      <c r="L50" s="131"/>
    </row>
    <row r="51" s="123" customFormat="1" ht="16.5" customHeight="1" spans="1:12">
      <c r="A51" s="163" t="str">
        <f>工程量计算稿!A73</f>
        <v>（六）</v>
      </c>
      <c r="B51" s="164" t="str">
        <f>工程量计算稿!B73</f>
        <v>绿化种草</v>
      </c>
      <c r="C51" s="165" t="str">
        <f>工程量计算稿!C73</f>
        <v>m2</v>
      </c>
      <c r="D51" s="166">
        <f>结算审核明细表!D70</f>
        <v>106</v>
      </c>
      <c r="E51" s="167">
        <f>结算审核明细表!I70</f>
        <v>91.2</v>
      </c>
      <c r="F51" s="168">
        <f ca="1">工程量计算稿!E73</f>
        <v>41.375466</v>
      </c>
      <c r="G51" s="169">
        <f ca="1" t="shared" si="2"/>
        <v>-64.624534</v>
      </c>
      <c r="H51" s="169">
        <f ca="1" t="shared" si="3"/>
        <v>-49.824534</v>
      </c>
      <c r="I51" s="181"/>
      <c r="J51" s="131"/>
      <c r="K51" s="131"/>
      <c r="L51" s="131"/>
    </row>
    <row r="52" s="123" customFormat="1" ht="16.5" customHeight="1" spans="1:12">
      <c r="A52" s="163" t="str">
        <f>工程量计算稿!A74</f>
        <v>（七）</v>
      </c>
      <c r="B52" s="164" t="str">
        <f>工程量计算稿!B74</f>
        <v>围墙</v>
      </c>
      <c r="C52" s="165" t="str">
        <f>工程量计算稿!C74</f>
        <v>m</v>
      </c>
      <c r="D52" s="166"/>
      <c r="E52" s="167"/>
      <c r="F52" s="168"/>
      <c r="G52" s="169"/>
      <c r="H52" s="169"/>
      <c r="I52" s="181"/>
      <c r="J52" s="131"/>
      <c r="K52" s="131"/>
      <c r="L52" s="131"/>
    </row>
    <row r="53" s="123" customFormat="1" ht="16.5" customHeight="1" spans="1:12">
      <c r="A53" s="157">
        <f>工程量计算稿!A75</f>
        <v>1</v>
      </c>
      <c r="B53" s="114" t="str">
        <f>工程量计算稿!B75</f>
        <v>土方开挖</v>
      </c>
      <c r="C53" s="158" t="str">
        <f>工程量计算稿!C75</f>
        <v>m3</v>
      </c>
      <c r="D53" s="159">
        <f>结算审核明细表!D72</f>
        <v>8.4</v>
      </c>
      <c r="E53" s="160">
        <f>结算审核明细表!I72</f>
        <v>5.28</v>
      </c>
      <c r="F53" s="161">
        <f ca="1">工程量计算稿!E75</f>
        <v>3.4884</v>
      </c>
      <c r="G53" s="162">
        <f ca="1" t="shared" si="2"/>
        <v>-4.9116</v>
      </c>
      <c r="H53" s="162">
        <f ca="1" t="shared" si="3"/>
        <v>-1.7916</v>
      </c>
      <c r="I53" s="179"/>
      <c r="J53" s="185"/>
      <c r="K53" s="131"/>
      <c r="L53" s="131"/>
    </row>
    <row r="54" s="123" customFormat="1" ht="16.5" customHeight="1" spans="1:12">
      <c r="A54" s="157">
        <f>工程量计算稿!A76</f>
        <v>2</v>
      </c>
      <c r="B54" s="114" t="str">
        <f>工程量计算稿!B76</f>
        <v>石方开挖</v>
      </c>
      <c r="C54" s="158" t="str">
        <f>工程量计算稿!C76</f>
        <v>m3</v>
      </c>
      <c r="D54" s="159">
        <f>结算审核明细表!D73</f>
        <v>8.4</v>
      </c>
      <c r="E54" s="160">
        <f>结算审核明细表!I73</f>
        <v>0</v>
      </c>
      <c r="F54" s="161">
        <f ca="1">工程量计算稿!E76</f>
        <v>0</v>
      </c>
      <c r="G54" s="162">
        <f ca="1" t="shared" si="2"/>
        <v>-8.4</v>
      </c>
      <c r="H54" s="162">
        <f ca="1" t="shared" si="3"/>
        <v>0</v>
      </c>
      <c r="I54" s="179"/>
      <c r="J54" s="185"/>
      <c r="K54" s="131"/>
      <c r="L54" s="131"/>
    </row>
    <row r="55" s="123" customFormat="1" ht="16.5" customHeight="1" spans="1:12">
      <c r="A55" s="157">
        <f>工程量计算稿!A77</f>
        <v>3</v>
      </c>
      <c r="B55" s="114" t="str">
        <f>工程量计算稿!B77</f>
        <v>土方回填</v>
      </c>
      <c r="C55" s="158" t="str">
        <f>工程量计算稿!C77</f>
        <v>m3</v>
      </c>
      <c r="D55" s="159">
        <f>结算审核明细表!D74</f>
        <v>4.2</v>
      </c>
      <c r="E55" s="160">
        <f>结算审核明细表!I74</f>
        <v>2.11</v>
      </c>
      <c r="F55" s="161">
        <f ca="1">工程量计算稿!E77</f>
        <v>0</v>
      </c>
      <c r="G55" s="162">
        <f ca="1" t="shared" si="2"/>
        <v>-4.2</v>
      </c>
      <c r="H55" s="162">
        <f ca="1" t="shared" si="3"/>
        <v>-2.11</v>
      </c>
      <c r="I55" s="179"/>
      <c r="J55" s="185"/>
      <c r="K55" s="131"/>
      <c r="L55" s="131"/>
    </row>
    <row r="56" s="123" customFormat="1" ht="16.5" customHeight="1" spans="1:12">
      <c r="A56" s="157">
        <f>工程量计算稿!A78</f>
        <v>4</v>
      </c>
      <c r="B56" s="114" t="str">
        <f>工程量计算稿!B78</f>
        <v>M7.5浆砌页岩砖(墙体)</v>
      </c>
      <c r="C56" s="158" t="str">
        <f>工程量计算稿!C78</f>
        <v>m3</v>
      </c>
      <c r="D56" s="159">
        <f>结算审核明细表!D75</f>
        <v>29.4</v>
      </c>
      <c r="E56" s="160">
        <f>结算审核明细表!I75</f>
        <v>19.79</v>
      </c>
      <c r="F56" s="161">
        <f ca="1">工程量计算稿!E78</f>
        <v>16.962928</v>
      </c>
      <c r="G56" s="162">
        <f ca="1" t="shared" si="2"/>
        <v>-12.437072</v>
      </c>
      <c r="H56" s="162">
        <f ca="1" t="shared" si="3"/>
        <v>-2.827072</v>
      </c>
      <c r="I56" s="179"/>
      <c r="J56" s="185"/>
      <c r="K56" s="131"/>
      <c r="L56" s="131"/>
    </row>
    <row r="57" s="123" customFormat="1" ht="16.5" customHeight="1" spans="1:12">
      <c r="A57" s="157">
        <f>工程量计算稿!A79</f>
        <v>5</v>
      </c>
      <c r="B57" s="114" t="str">
        <f>工程量计算稿!B79</f>
        <v>C25混凝土浇筑（基础高0.3m，宽0.3m）</v>
      </c>
      <c r="C57" s="158" t="str">
        <f>工程量计算稿!C79</f>
        <v>m3</v>
      </c>
      <c r="D57" s="159">
        <f>结算审核明细表!D76</f>
        <v>7.56</v>
      </c>
      <c r="E57" s="160">
        <f>结算审核明细表!I76</f>
        <v>3.17</v>
      </c>
      <c r="F57" s="161">
        <f ca="1">工程量计算稿!E79</f>
        <v>3.4884</v>
      </c>
      <c r="G57" s="162">
        <f ca="1" t="shared" si="2"/>
        <v>-4.0716</v>
      </c>
      <c r="H57" s="162">
        <f ca="1" t="shared" si="3"/>
        <v>0.3184</v>
      </c>
      <c r="I57" s="179"/>
      <c r="J57" s="185"/>
      <c r="K57" s="131"/>
      <c r="L57" s="131"/>
    </row>
    <row r="58" s="123" customFormat="1" ht="16.5" customHeight="1" spans="1:12">
      <c r="A58" s="157">
        <f>工程量计算稿!A80</f>
        <v>6</v>
      </c>
      <c r="B58" s="114" t="str">
        <f>工程量计算稿!B80</f>
        <v>钢筋制安</v>
      </c>
      <c r="C58" s="158" t="str">
        <f>工程量计算稿!C80</f>
        <v>t</v>
      </c>
      <c r="D58" s="159">
        <f>结算审核明细表!D77</f>
        <v>0.7392</v>
      </c>
      <c r="E58" s="160">
        <f>结算审核明细表!I77</f>
        <v>0.31</v>
      </c>
      <c r="F58" s="161">
        <f ca="1">工程量计算稿!E80</f>
        <v>0.1835328</v>
      </c>
      <c r="G58" s="162">
        <f ca="1" t="shared" si="2"/>
        <v>-0.5556672</v>
      </c>
      <c r="H58" s="162">
        <f ca="1" t="shared" si="3"/>
        <v>-0.1264672</v>
      </c>
      <c r="I58" s="179"/>
      <c r="J58" s="185"/>
      <c r="K58" s="131"/>
      <c r="L58" s="131"/>
    </row>
    <row r="59" s="123" customFormat="1" ht="16.5" customHeight="1" spans="1:12">
      <c r="A59" s="157">
        <f>工程量计算稿!A81</f>
        <v>7</v>
      </c>
      <c r="B59" s="114" t="str">
        <f>工程量计算稿!B81</f>
        <v>围墙双面贴瓷砖</v>
      </c>
      <c r="C59" s="158" t="str">
        <f>工程量计算稿!C81</f>
        <v>m2</v>
      </c>
      <c r="D59" s="159">
        <f>结算审核明细表!D78</f>
        <v>252</v>
      </c>
      <c r="E59" s="160">
        <f>结算审核明细表!I78</f>
        <v>164.48</v>
      </c>
      <c r="F59" s="161">
        <f ca="1">工程量计算稿!E81</f>
        <v>150.7968</v>
      </c>
      <c r="G59" s="162">
        <f ca="1" t="shared" si="2"/>
        <v>-101.2032</v>
      </c>
      <c r="H59" s="162">
        <f ca="1" t="shared" si="3"/>
        <v>-13.6832</v>
      </c>
      <c r="I59" s="179"/>
      <c r="J59" s="185"/>
      <c r="K59" s="131"/>
      <c r="L59" s="131"/>
    </row>
    <row r="60" s="123" customFormat="1" ht="16.5" customHeight="1" spans="1:12">
      <c r="A60" s="157">
        <f>工程量计算稿!A82</f>
        <v>8</v>
      </c>
      <c r="B60" s="114" t="str">
        <f>工程量计算稿!B82</f>
        <v>M10砂浆抹面</v>
      </c>
      <c r="C60" s="158" t="str">
        <f>工程量计算稿!C82</f>
        <v>m2</v>
      </c>
      <c r="D60" s="159">
        <f>结算审核明细表!D79</f>
        <v>252</v>
      </c>
      <c r="E60" s="160">
        <f>结算审核明细表!I79</f>
        <v>164.48</v>
      </c>
      <c r="F60" s="161">
        <f ca="1">工程量计算稿!E82</f>
        <v>150.7968</v>
      </c>
      <c r="G60" s="162">
        <f ca="1" t="shared" si="2"/>
        <v>-101.2032</v>
      </c>
      <c r="H60" s="162">
        <f ca="1" t="shared" si="3"/>
        <v>-13.6832</v>
      </c>
      <c r="I60" s="179"/>
      <c r="J60" s="185"/>
      <c r="K60" s="131"/>
      <c r="L60" s="131"/>
    </row>
    <row r="61" s="123" customFormat="1" ht="16.5" customHeight="1" spans="1:12">
      <c r="A61" s="157">
        <f>工程量计算稿!A83</f>
        <v>9</v>
      </c>
      <c r="B61" s="114" t="str">
        <f>工程量计算稿!B83</f>
        <v>人力二次转运材料（500元/t/km,运距0.2km）</v>
      </c>
      <c r="C61" s="158" t="str">
        <f>工程量计算稿!C83</f>
        <v>t</v>
      </c>
      <c r="D61" s="159">
        <f>结算审核明细表!D80</f>
        <v>85.68</v>
      </c>
      <c r="E61" s="160">
        <f>结算审核明细表!I80</f>
        <v>61</v>
      </c>
      <c r="F61" s="161"/>
      <c r="G61" s="162"/>
      <c r="H61" s="162"/>
      <c r="I61" s="179" t="s">
        <v>87</v>
      </c>
      <c r="J61" s="131"/>
      <c r="K61" s="131"/>
      <c r="L61" s="131"/>
    </row>
    <row r="62" s="123" customFormat="1" ht="16.5" customHeight="1" spans="1:12">
      <c r="A62" s="163" t="str">
        <f>工程量计算稿!A84</f>
        <v>（八）</v>
      </c>
      <c r="B62" s="164" t="str">
        <f>工程量计算稿!B84</f>
        <v>不锈钢大门</v>
      </c>
      <c r="C62" s="165" t="str">
        <f>工程量计算稿!C84</f>
        <v>套</v>
      </c>
      <c r="D62" s="166">
        <f>结算审核明细表!D86</f>
        <v>2</v>
      </c>
      <c r="E62" s="167">
        <f>结算审核明细表!I86</f>
        <v>1</v>
      </c>
      <c r="F62" s="168">
        <f ca="1">工程量计算稿!E84</f>
        <v>1</v>
      </c>
      <c r="G62" s="169">
        <f ca="1" t="shared" si="2"/>
        <v>-1</v>
      </c>
      <c r="H62" s="169">
        <f ca="1" t="shared" si="3"/>
        <v>0</v>
      </c>
      <c r="I62" s="181"/>
      <c r="J62" s="185" t="str">
        <f>B62</f>
        <v>不锈钢大门</v>
      </c>
      <c r="K62" s="131">
        <f ca="1">G62+G104</f>
        <v>-2</v>
      </c>
      <c r="L62" s="131">
        <f ca="1">H62+H104</f>
        <v>0</v>
      </c>
    </row>
    <row r="63" s="123" customFormat="1" ht="16.5" customHeight="1" spans="1:12">
      <c r="A63" s="163" t="str">
        <f>工程量计算稿!A85</f>
        <v>（九）</v>
      </c>
      <c r="B63" s="164" t="str">
        <f>工程量计算稿!B85</f>
        <v>厂牌 安全饮水标志牌 简介牌</v>
      </c>
      <c r="C63" s="165" t="str">
        <f>工程量计算稿!C85</f>
        <v>套</v>
      </c>
      <c r="D63" s="166">
        <f>结算审核明细表!D87</f>
        <v>2</v>
      </c>
      <c r="E63" s="167">
        <f>结算审核明细表!I87</f>
        <v>1</v>
      </c>
      <c r="F63" s="168">
        <f ca="1">工程量计算稿!E85</f>
        <v>0</v>
      </c>
      <c r="G63" s="169">
        <f ca="1" t="shared" si="2"/>
        <v>-2</v>
      </c>
      <c r="H63" s="169">
        <f ca="1" t="shared" si="3"/>
        <v>-1</v>
      </c>
      <c r="I63" s="181"/>
      <c r="J63" s="185" t="s">
        <v>91</v>
      </c>
      <c r="K63" s="131">
        <f ca="1">G63+G105</f>
        <v>-3</v>
      </c>
      <c r="L63" s="131">
        <f ca="1">H63+H105</f>
        <v>-1</v>
      </c>
    </row>
    <row r="64" s="123" customFormat="1" ht="16.5" customHeight="1" spans="1:12">
      <c r="A64" s="150" t="str">
        <f>工程量计算稿!A86</f>
        <v>三</v>
      </c>
      <c r="B64" s="151" t="str">
        <f>工程量计算稿!B86</f>
        <v>新增两个三米内径水池及附属工程</v>
      </c>
      <c r="C64" s="152"/>
      <c r="D64" s="153"/>
      <c r="E64" s="154"/>
      <c r="F64" s="155"/>
      <c r="G64" s="156"/>
      <c r="H64" s="156"/>
      <c r="I64" s="178"/>
      <c r="J64" s="131"/>
      <c r="K64" s="131"/>
      <c r="L64" s="131"/>
    </row>
    <row r="65" s="123" customFormat="1" ht="16.5" customHeight="1" spans="1:12">
      <c r="A65" s="163" t="str">
        <f>工程量计算稿!A87</f>
        <v>（一）</v>
      </c>
      <c r="B65" s="164" t="str">
        <f>工程量计算稿!B87</f>
        <v>闸阀井</v>
      </c>
      <c r="C65" s="165" t="str">
        <f>工程量计算稿!C87</f>
        <v>座</v>
      </c>
      <c r="D65" s="166"/>
      <c r="E65" s="167"/>
      <c r="F65" s="168"/>
      <c r="G65" s="169"/>
      <c r="H65" s="169"/>
      <c r="I65" s="181"/>
      <c r="J65" s="131"/>
      <c r="K65" s="131"/>
      <c r="L65" s="131"/>
    </row>
    <row r="66" s="123" customFormat="1" ht="16.5" customHeight="1" spans="1:12">
      <c r="A66" s="157">
        <f>工程量计算稿!A88</f>
        <v>1</v>
      </c>
      <c r="B66" s="114" t="str">
        <f>工程量计算稿!B88</f>
        <v>土方开挖</v>
      </c>
      <c r="C66" s="158" t="str">
        <f>工程量计算稿!C88</f>
        <v>m3</v>
      </c>
      <c r="D66" s="159">
        <f>结算审核明细表!D90</f>
        <v>1.53</v>
      </c>
      <c r="E66" s="160">
        <f>结算审核明细表!I90</f>
        <v>0.6</v>
      </c>
      <c r="F66" s="161">
        <f ca="1">工程量计算稿!E88</f>
        <v>0.6</v>
      </c>
      <c r="G66" s="162">
        <f ca="1" t="shared" ref="G66:G72" si="4">F66-D66</f>
        <v>-0.93</v>
      </c>
      <c r="H66" s="162">
        <f ca="1" t="shared" ref="H66:H72" si="5">F66-E66</f>
        <v>0</v>
      </c>
      <c r="I66" s="179"/>
      <c r="J66" s="185"/>
      <c r="K66" s="131"/>
      <c r="L66" s="131"/>
    </row>
    <row r="67" s="123" customFormat="1" ht="16.5" customHeight="1" spans="1:12">
      <c r="A67" s="157">
        <f>工程量计算稿!A89</f>
        <v>2</v>
      </c>
      <c r="B67" s="114" t="str">
        <f>工程量计算稿!B89</f>
        <v>石方开挖</v>
      </c>
      <c r="C67" s="158" t="str">
        <f>工程量计算稿!C89</f>
        <v>m3</v>
      </c>
      <c r="D67" s="159">
        <f>结算审核明细表!D91</f>
        <v>1.06</v>
      </c>
      <c r="E67" s="160">
        <f>结算审核明细表!I91</f>
        <v>1</v>
      </c>
      <c r="F67" s="161">
        <f ca="1">工程量计算稿!E89</f>
        <v>1</v>
      </c>
      <c r="G67" s="162">
        <f ca="1" t="shared" si="4"/>
        <v>-0.0600000000000001</v>
      </c>
      <c r="H67" s="162">
        <f ca="1" t="shared" si="5"/>
        <v>0</v>
      </c>
      <c r="I67" s="179"/>
      <c r="J67" s="185"/>
      <c r="K67" s="131"/>
      <c r="L67" s="131"/>
    </row>
    <row r="68" s="123" customFormat="1" ht="16.5" customHeight="1" spans="1:12">
      <c r="A68" s="157">
        <f>工程量计算稿!A90</f>
        <v>3</v>
      </c>
      <c r="B68" s="114" t="str">
        <f>工程量计算稿!B90</f>
        <v>土方回填</v>
      </c>
      <c r="C68" s="158" t="str">
        <f>工程量计算稿!C90</f>
        <v>m3</v>
      </c>
      <c r="D68" s="159">
        <f>结算审核明细表!D92</f>
        <v>0.42</v>
      </c>
      <c r="E68" s="160">
        <f>结算审核明细表!I92</f>
        <v>0</v>
      </c>
      <c r="F68" s="161">
        <f ca="1">工程量计算稿!E90</f>
        <v>0</v>
      </c>
      <c r="G68" s="162">
        <f ca="1" t="shared" si="4"/>
        <v>-0.42</v>
      </c>
      <c r="H68" s="162">
        <f ca="1" t="shared" si="5"/>
        <v>0</v>
      </c>
      <c r="I68" s="179"/>
      <c r="J68" s="185"/>
      <c r="K68" s="131"/>
      <c r="L68" s="131"/>
    </row>
    <row r="69" s="123" customFormat="1" ht="16.5" customHeight="1" spans="1:12">
      <c r="A69" s="157">
        <f>工程量计算稿!A91</f>
        <v>4</v>
      </c>
      <c r="B69" s="114" t="str">
        <f>工程量计算稿!B91</f>
        <v>M7.5浆砌页岩砖</v>
      </c>
      <c r="C69" s="158" t="str">
        <f>工程量计算稿!C91</f>
        <v>m3</v>
      </c>
      <c r="D69" s="159">
        <f>结算审核明细表!D93</f>
        <v>0.95</v>
      </c>
      <c r="E69" s="160">
        <f>结算审核明细表!I93</f>
        <v>0.3</v>
      </c>
      <c r="F69" s="161">
        <f ca="1">工程量计算稿!E91</f>
        <v>0.29624</v>
      </c>
      <c r="G69" s="162">
        <f ca="1" t="shared" si="4"/>
        <v>-0.65376</v>
      </c>
      <c r="H69" s="162">
        <f ca="1" t="shared" si="5"/>
        <v>-0.00376000000000004</v>
      </c>
      <c r="I69" s="179"/>
      <c r="J69" s="185"/>
      <c r="K69" s="131"/>
      <c r="L69" s="131"/>
    </row>
    <row r="70" s="123" customFormat="1" ht="16.5" customHeight="1" spans="1:12">
      <c r="A70" s="157">
        <f>工程量计算稿!A92</f>
        <v>5</v>
      </c>
      <c r="B70" s="114" t="str">
        <f>工程量计算稿!B92</f>
        <v>预制盖板C20砼</v>
      </c>
      <c r="C70" s="158" t="str">
        <f>工程量计算稿!C92</f>
        <v>m3</v>
      </c>
      <c r="D70" s="159">
        <f>结算审核明细表!D94</f>
        <v>0.16</v>
      </c>
      <c r="E70" s="160">
        <f>结算审核明细表!I94</f>
        <v>0.036</v>
      </c>
      <c r="F70" s="161">
        <f ca="1">工程量计算稿!E92</f>
        <v>0.051875</v>
      </c>
      <c r="G70" s="162">
        <f ca="1" t="shared" si="4"/>
        <v>-0.108125</v>
      </c>
      <c r="H70" s="162">
        <f ca="1" t="shared" si="5"/>
        <v>0.015875</v>
      </c>
      <c r="I70" s="179"/>
      <c r="J70" s="185"/>
      <c r="K70" s="131"/>
      <c r="L70" s="131"/>
    </row>
    <row r="71" s="123" customFormat="1" ht="16.5" customHeight="1" spans="1:12">
      <c r="A71" s="157">
        <f>工程量计算稿!A93</f>
        <v>6</v>
      </c>
      <c r="B71" s="114" t="str">
        <f>工程量计算稿!B93</f>
        <v>盖板钢筋制安</v>
      </c>
      <c r="C71" s="158" t="str">
        <f>工程量计算稿!C93</f>
        <v>t</v>
      </c>
      <c r="D71" s="159">
        <f>结算审核明细表!D95</f>
        <v>0.0027</v>
      </c>
      <c r="E71" s="160">
        <f>结算审核明细表!I95</f>
        <v>0.01</v>
      </c>
      <c r="F71" s="161">
        <f ca="1">工程量计算稿!E93</f>
        <v>0.01</v>
      </c>
      <c r="G71" s="162">
        <f ca="1" t="shared" si="4"/>
        <v>0.0073</v>
      </c>
      <c r="H71" s="162">
        <f ca="1" t="shared" si="5"/>
        <v>0</v>
      </c>
      <c r="I71" s="179"/>
      <c r="J71" s="185"/>
      <c r="K71" s="131"/>
      <c r="L71" s="131"/>
    </row>
    <row r="72" s="123" customFormat="1" ht="16.5" customHeight="1" spans="1:12">
      <c r="A72" s="157">
        <f>工程量计算稿!A94</f>
        <v>7</v>
      </c>
      <c r="B72" s="114" t="str">
        <f>工程量计算稿!B94</f>
        <v>M10砂浆抹面</v>
      </c>
      <c r="C72" s="158" t="str">
        <f>工程量计算稿!C94</f>
        <v>m2</v>
      </c>
      <c r="D72" s="159">
        <f>结算审核明细表!D96</f>
        <v>7.88</v>
      </c>
      <c r="E72" s="160">
        <f>结算审核明细表!I96</f>
        <v>5.04</v>
      </c>
      <c r="F72" s="161">
        <f ca="1">工程量计算稿!E94</f>
        <v>5.152</v>
      </c>
      <c r="G72" s="162">
        <f ca="1" t="shared" si="4"/>
        <v>-2.728</v>
      </c>
      <c r="H72" s="162">
        <f ca="1" t="shared" si="5"/>
        <v>0.111999999999999</v>
      </c>
      <c r="I72" s="179"/>
      <c r="J72" s="185"/>
      <c r="K72" s="131"/>
      <c r="L72" s="131"/>
    </row>
    <row r="73" s="123" customFormat="1" ht="16.5" customHeight="1" spans="1:12">
      <c r="A73" s="157">
        <f>工程量计算稿!A95</f>
        <v>8</v>
      </c>
      <c r="B73" s="114" t="str">
        <f>工程量计算稿!B95</f>
        <v>人力二次转运材料（500元/t/km,运距0.2km）</v>
      </c>
      <c r="C73" s="158" t="str">
        <f>工程量计算稿!C95</f>
        <v>t</v>
      </c>
      <c r="D73" s="159">
        <f>结算审核明细表!D97</f>
        <v>3</v>
      </c>
      <c r="E73" s="160">
        <f>结算审核明细表!I97</f>
        <v>2</v>
      </c>
      <c r="F73" s="161"/>
      <c r="G73" s="162"/>
      <c r="H73" s="162"/>
      <c r="I73" s="179" t="s">
        <v>87</v>
      </c>
      <c r="J73" s="131"/>
      <c r="K73" s="131"/>
      <c r="L73" s="131"/>
    </row>
    <row r="74" s="123" customFormat="1" ht="16.5" customHeight="1" spans="1:12">
      <c r="A74" s="163" t="str">
        <f>工程量计算稿!A96</f>
        <v>（二）</v>
      </c>
      <c r="B74" s="164" t="str">
        <f>工程量计算稿!B96</f>
        <v>新建30方清水池</v>
      </c>
      <c r="C74" s="165" t="str">
        <f>工程量计算稿!C96</f>
        <v>座</v>
      </c>
      <c r="D74" s="166"/>
      <c r="E74" s="167"/>
      <c r="F74" s="168"/>
      <c r="G74" s="169"/>
      <c r="H74" s="169"/>
      <c r="I74" s="181"/>
      <c r="J74" s="131"/>
      <c r="K74" s="131"/>
      <c r="L74" s="131"/>
    </row>
    <row r="75" s="123" customFormat="1" ht="16.5" customHeight="1" spans="1:12">
      <c r="A75" s="157">
        <f>工程量计算稿!A97</f>
        <v>1</v>
      </c>
      <c r="B75" s="114" t="str">
        <f>工程量计算稿!B97</f>
        <v>土方开挖</v>
      </c>
      <c r="C75" s="158" t="str">
        <f>工程量计算稿!C97</f>
        <v>m3</v>
      </c>
      <c r="D75" s="159">
        <f>结算审核明细表!D104</f>
        <v>12.44</v>
      </c>
      <c r="E75" s="160">
        <f>结算审核明细表!I104</f>
        <v>8.57</v>
      </c>
      <c r="F75" s="161">
        <f ca="1">工程量计算稿!E97</f>
        <v>8.5722</v>
      </c>
      <c r="G75" s="162">
        <f ca="1" t="shared" ref="G75:G86" si="6">F75-D75</f>
        <v>-3.8678</v>
      </c>
      <c r="H75" s="162">
        <f ca="1" t="shared" ref="H75:H86" si="7">F75-E75</f>
        <v>0.0022000000000002</v>
      </c>
      <c r="I75" s="179"/>
      <c r="J75" s="185"/>
      <c r="K75" s="131"/>
      <c r="L75" s="131"/>
    </row>
    <row r="76" s="123" customFormat="1" ht="16.5" customHeight="1" spans="1:12">
      <c r="A76" s="157">
        <f>工程量计算稿!A98</f>
        <v>2</v>
      </c>
      <c r="B76" s="114" t="str">
        <f>工程量计算稿!B98</f>
        <v>石方开挖</v>
      </c>
      <c r="C76" s="158" t="str">
        <f>工程量计算稿!C98</f>
        <v>m3</v>
      </c>
      <c r="D76" s="159">
        <f>结算审核明细表!D105</f>
        <v>49.77</v>
      </c>
      <c r="E76" s="160">
        <f>结算审核明细表!I105</f>
        <v>34.29</v>
      </c>
      <c r="F76" s="161">
        <f ca="1">工程量计算稿!E98</f>
        <v>34.2888</v>
      </c>
      <c r="G76" s="162">
        <f ca="1" t="shared" si="6"/>
        <v>-15.4812</v>
      </c>
      <c r="H76" s="162">
        <f ca="1" t="shared" si="7"/>
        <v>-0.0011999999999972</v>
      </c>
      <c r="I76" s="179"/>
      <c r="J76" s="185"/>
      <c r="K76" s="131"/>
      <c r="L76" s="131"/>
    </row>
    <row r="77" s="123" customFormat="1" ht="16.5" customHeight="1" spans="1:12">
      <c r="A77" s="157">
        <f>工程量计算稿!A99</f>
        <v>3</v>
      </c>
      <c r="B77" s="114" t="str">
        <f>工程量计算稿!B99</f>
        <v>土方回填</v>
      </c>
      <c r="C77" s="158" t="str">
        <f>工程量计算稿!C99</f>
        <v>m3</v>
      </c>
      <c r="D77" s="159">
        <f>结算审核明细表!D106</f>
        <v>18.66</v>
      </c>
      <c r="E77" s="160">
        <f>结算审核明细表!I106</f>
        <v>21.32</v>
      </c>
      <c r="F77" s="161">
        <f ca="1">工程量计算稿!E99</f>
        <v>21.32374</v>
      </c>
      <c r="G77" s="162">
        <f ca="1" t="shared" si="6"/>
        <v>2.66374</v>
      </c>
      <c r="H77" s="162">
        <f ca="1" t="shared" si="7"/>
        <v>0.00374000000000407</v>
      </c>
      <c r="I77" s="179"/>
      <c r="J77" s="185"/>
      <c r="K77" s="131"/>
      <c r="L77" s="131"/>
    </row>
    <row r="78" s="123" customFormat="1" ht="16.5" customHeight="1" spans="1:12">
      <c r="A78" s="157">
        <f>工程量计算稿!A100</f>
        <v>4</v>
      </c>
      <c r="B78" s="114" t="str">
        <f>工程量计算稿!B100</f>
        <v>30cm厚覆土</v>
      </c>
      <c r="C78" s="158" t="str">
        <f>工程量计算稿!C100</f>
        <v>m3</v>
      </c>
      <c r="D78" s="159">
        <f>结算审核明细表!D107</f>
        <v>3.77</v>
      </c>
      <c r="E78" s="160">
        <f>结算审核明细表!I107</f>
        <v>0</v>
      </c>
      <c r="F78" s="161">
        <f ca="1">工程量计算稿!E100</f>
        <v>1.9897552</v>
      </c>
      <c r="G78" s="162">
        <f ca="1" t="shared" si="6"/>
        <v>-1.7802448</v>
      </c>
      <c r="H78" s="162">
        <f ca="1" t="shared" si="7"/>
        <v>1.9897552</v>
      </c>
      <c r="I78" s="179"/>
      <c r="J78" s="185"/>
      <c r="K78" s="131"/>
      <c r="L78" s="131"/>
    </row>
    <row r="79" s="123" customFormat="1" ht="16.5" customHeight="1" spans="1:12">
      <c r="A79" s="157">
        <f>工程量计算稿!A101</f>
        <v>5</v>
      </c>
      <c r="B79" s="114" t="str">
        <f>工程量计算稿!B101</f>
        <v>C25混凝土浇筑</v>
      </c>
      <c r="C79" s="158" t="str">
        <f>工程量计算稿!C101</f>
        <v>m3</v>
      </c>
      <c r="D79" s="159">
        <f>结算审核明细表!D108</f>
        <v>5.62</v>
      </c>
      <c r="E79" s="160">
        <f>结算审核明细表!I108</f>
        <v>3.97</v>
      </c>
      <c r="F79" s="161">
        <f ca="1">工程量计算稿!E101</f>
        <v>3.96739</v>
      </c>
      <c r="G79" s="162">
        <f ca="1" t="shared" si="6"/>
        <v>-1.65261</v>
      </c>
      <c r="H79" s="162">
        <f ca="1" t="shared" si="7"/>
        <v>-0.00261000000000067</v>
      </c>
      <c r="I79" s="179"/>
      <c r="J79" s="185"/>
      <c r="K79" s="131"/>
      <c r="L79" s="131"/>
    </row>
    <row r="80" s="123" customFormat="1" ht="16.5" customHeight="1" spans="1:12">
      <c r="A80" s="157">
        <f>工程量计算稿!A102</f>
        <v>6</v>
      </c>
      <c r="B80" s="114" t="str">
        <f>工程量计算稿!B102</f>
        <v>模板制安</v>
      </c>
      <c r="C80" s="158" t="str">
        <f>工程量计算稿!C102</f>
        <v>m2</v>
      </c>
      <c r="D80" s="159">
        <f>结算审核明细表!D109</f>
        <v>15.76</v>
      </c>
      <c r="E80" s="160">
        <f>结算审核明细表!I109</f>
        <v>11.34</v>
      </c>
      <c r="F80" s="161">
        <f ca="1">工程量计算稿!E102</f>
        <v>11.3354</v>
      </c>
      <c r="G80" s="162">
        <f ca="1" t="shared" si="6"/>
        <v>-4.4246</v>
      </c>
      <c r="H80" s="162">
        <f ca="1" t="shared" si="7"/>
        <v>-0.00459999999999994</v>
      </c>
      <c r="I80" s="179"/>
      <c r="J80" s="185"/>
      <c r="K80" s="131"/>
      <c r="L80" s="131"/>
    </row>
    <row r="81" s="123" customFormat="1" ht="16.5" customHeight="1" spans="1:12">
      <c r="A81" s="157">
        <f>工程量计算稿!A103</f>
        <v>7</v>
      </c>
      <c r="B81" s="114" t="str">
        <f>工程量计算稿!B103</f>
        <v>钢筋制安</v>
      </c>
      <c r="C81" s="158" t="str">
        <f>工程量计算稿!C103</f>
        <v>t</v>
      </c>
      <c r="D81" s="159">
        <f>结算审核明细表!D110</f>
        <v>0.31</v>
      </c>
      <c r="E81" s="160">
        <f>结算审核明细表!I110</f>
        <v>0.3</v>
      </c>
      <c r="F81" s="161">
        <f ca="1">工程量计算稿!E103</f>
        <v>0.37311224</v>
      </c>
      <c r="G81" s="162">
        <f ca="1" t="shared" si="6"/>
        <v>0.06311224</v>
      </c>
      <c r="H81" s="162">
        <f ca="1" t="shared" si="7"/>
        <v>0.07311224</v>
      </c>
      <c r="I81" s="179"/>
      <c r="J81" s="185"/>
      <c r="K81" s="131"/>
      <c r="L81" s="131"/>
    </row>
    <row r="82" s="123" customFormat="1" ht="16.5" customHeight="1" spans="1:12">
      <c r="A82" s="157">
        <f>工程量计算稿!A104</f>
        <v>8</v>
      </c>
      <c r="B82" s="114" t="str">
        <f>工程量计算稿!B104</f>
        <v>M10砂浆抹面</v>
      </c>
      <c r="C82" s="158" t="str">
        <f>工程量计算稿!C104</f>
        <v>m2</v>
      </c>
      <c r="D82" s="159">
        <f>结算审核明细表!D111</f>
        <v>131.44</v>
      </c>
      <c r="E82" s="160">
        <f>结算审核明细表!I111</f>
        <v>41.76</v>
      </c>
      <c r="F82" s="161">
        <f ca="1">工程量计算稿!E104</f>
        <v>35.08636</v>
      </c>
      <c r="G82" s="162">
        <f ca="1" t="shared" si="6"/>
        <v>-96.35364</v>
      </c>
      <c r="H82" s="162">
        <f ca="1" t="shared" si="7"/>
        <v>-6.67364</v>
      </c>
      <c r="I82" s="179"/>
      <c r="J82" s="185"/>
      <c r="K82" s="131"/>
      <c r="L82" s="131"/>
    </row>
    <row r="83" s="123" customFormat="1" ht="16.5" customHeight="1" spans="1:12">
      <c r="A83" s="157">
        <f>工程量计算稿!A105</f>
        <v>9</v>
      </c>
      <c r="B83" s="114" t="str">
        <f>工程量计算稿!B105</f>
        <v>池壁贴瓷砖</v>
      </c>
      <c r="C83" s="158" t="str">
        <f>工程量计算稿!C105</f>
        <v>m2</v>
      </c>
      <c r="D83" s="159">
        <f>结算审核明细表!D112</f>
        <v>9.85</v>
      </c>
      <c r="E83" s="160">
        <f>结算审核明细表!I112</f>
        <v>10.98</v>
      </c>
      <c r="F83" s="161">
        <f ca="1">工程量计算稿!E105</f>
        <v>9.5456</v>
      </c>
      <c r="G83" s="162">
        <f ca="1" t="shared" si="6"/>
        <v>-0.304399999999999</v>
      </c>
      <c r="H83" s="162">
        <f ca="1" t="shared" si="7"/>
        <v>-1.4344</v>
      </c>
      <c r="I83" s="179"/>
      <c r="J83" s="185"/>
      <c r="K83" s="131"/>
      <c r="L83" s="131"/>
    </row>
    <row r="84" s="123" customFormat="1" ht="16.5" customHeight="1" spans="1:12">
      <c r="A84" s="157">
        <f>工程量计算稿!A106</f>
        <v>10</v>
      </c>
      <c r="B84" s="114" t="str">
        <f>工程量计算稿!B106</f>
        <v>M7.5浆砌页岩砖</v>
      </c>
      <c r="C84" s="158" t="str">
        <f>工程量计算稿!C106</f>
        <v>m3</v>
      </c>
      <c r="D84" s="159">
        <f>结算审核明细表!D113</f>
        <v>11.65</v>
      </c>
      <c r="E84" s="160">
        <f>结算审核明细表!I113</f>
        <v>7.45</v>
      </c>
      <c r="F84" s="161">
        <f ca="1">工程量计算稿!E106</f>
        <v>6.8386688</v>
      </c>
      <c r="G84" s="162">
        <f ca="1" t="shared" si="6"/>
        <v>-4.8113312</v>
      </c>
      <c r="H84" s="162">
        <f ca="1" t="shared" si="7"/>
        <v>-0.6113312</v>
      </c>
      <c r="I84" s="179"/>
      <c r="J84" s="185"/>
      <c r="K84" s="131"/>
      <c r="L84" s="131"/>
    </row>
    <row r="85" s="123" customFormat="1" ht="16.5" customHeight="1" spans="1:12">
      <c r="A85" s="157">
        <f>工程量计算稿!A107</f>
        <v>11</v>
      </c>
      <c r="B85" s="114" t="str">
        <f>工程量计算稿!B107</f>
        <v>铁梯制安</v>
      </c>
      <c r="C85" s="158" t="str">
        <f>工程量计算稿!C107</f>
        <v>t</v>
      </c>
      <c r="D85" s="159">
        <f>结算审核明细表!D114</f>
        <v>0.01</v>
      </c>
      <c r="E85" s="160">
        <f>结算审核明细表!I114</f>
        <v>0.01</v>
      </c>
      <c r="F85" s="161">
        <f ca="1">工程量计算稿!E107</f>
        <v>0</v>
      </c>
      <c r="G85" s="162">
        <f ca="1" t="shared" si="6"/>
        <v>-0.01</v>
      </c>
      <c r="H85" s="162">
        <f ca="1" t="shared" si="7"/>
        <v>-0.01</v>
      </c>
      <c r="I85" s="176"/>
      <c r="J85" s="185"/>
      <c r="K85" s="131"/>
      <c r="L85" s="131"/>
    </row>
    <row r="86" s="123" customFormat="1" ht="16.5" customHeight="1" spans="1:12">
      <c r="A86" s="157">
        <f>工程量计算稿!A108</f>
        <v>12</v>
      </c>
      <c r="B86" s="114" t="str">
        <f>工程量计算稿!B108</f>
        <v>通气、进人孔</v>
      </c>
      <c r="C86" s="158" t="str">
        <f>工程量计算稿!C108</f>
        <v>套</v>
      </c>
      <c r="D86" s="159">
        <f>结算审核明细表!D115</f>
        <v>1</v>
      </c>
      <c r="E86" s="160">
        <f>结算审核明细表!I115</f>
        <v>1</v>
      </c>
      <c r="F86" s="161">
        <f ca="1">工程量计算稿!E108</f>
        <v>1</v>
      </c>
      <c r="G86" s="162">
        <f ca="1" t="shared" si="6"/>
        <v>0</v>
      </c>
      <c r="H86" s="162">
        <f ca="1" t="shared" si="7"/>
        <v>0</v>
      </c>
      <c r="I86" s="179"/>
      <c r="J86" s="185"/>
      <c r="K86" s="131"/>
      <c r="L86" s="131"/>
    </row>
    <row r="87" s="123" customFormat="1" ht="16.5" customHeight="1" spans="1:12">
      <c r="A87" s="157">
        <f>工程量计算稿!A109</f>
        <v>13</v>
      </c>
      <c r="B87" s="114" t="str">
        <f>工程量计算稿!B109</f>
        <v>人力二次转运材料（500元/t/km,运距0.2km）</v>
      </c>
      <c r="C87" s="158" t="str">
        <f>工程量计算稿!C109</f>
        <v>t</v>
      </c>
      <c r="D87" s="159">
        <f>结算审核明细表!D116</f>
        <v>42</v>
      </c>
      <c r="E87" s="160">
        <f>结算审核明细表!I116</f>
        <v>30</v>
      </c>
      <c r="F87" s="161"/>
      <c r="G87" s="162"/>
      <c r="H87" s="162"/>
      <c r="I87" s="179" t="s">
        <v>87</v>
      </c>
      <c r="J87" s="131"/>
      <c r="K87" s="131"/>
      <c r="L87" s="131"/>
    </row>
    <row r="88" s="123" customFormat="1" ht="16.5" customHeight="1" spans="1:12">
      <c r="A88" s="157" t="str">
        <f>工程量计算稿!A110</f>
        <v>增</v>
      </c>
      <c r="B88" s="114" t="str">
        <f>工程量计算稿!B110</f>
        <v>不锈钢栏杆</v>
      </c>
      <c r="C88" s="158" t="str">
        <f>工程量计算稿!C110</f>
        <v>m</v>
      </c>
      <c r="D88" s="159">
        <f>结算审核明细表!D122</f>
        <v>0</v>
      </c>
      <c r="E88" s="160">
        <f>结算审核明细表!I122</f>
        <v>17</v>
      </c>
      <c r="F88" s="161">
        <f ca="1">工程量计算稿!E110</f>
        <v>17.7</v>
      </c>
      <c r="G88" s="162">
        <f ca="1">F88-D88</f>
        <v>17.7</v>
      </c>
      <c r="H88" s="162">
        <f ca="1">F88-E88</f>
        <v>0.699999999999999</v>
      </c>
      <c r="I88" s="179"/>
      <c r="J88" s="185" t="str">
        <f>B88</f>
        <v>不锈钢栏杆</v>
      </c>
      <c r="K88" s="131">
        <f ca="1">G88</f>
        <v>17.7</v>
      </c>
      <c r="L88" s="131">
        <f ca="1">H88</f>
        <v>0.699999999999999</v>
      </c>
    </row>
    <row r="89" s="123" customFormat="1" ht="16.5" customHeight="1" spans="1:12">
      <c r="A89" s="163" t="str">
        <f>工程量计算稿!A111</f>
        <v>（三）</v>
      </c>
      <c r="B89" s="164" t="str">
        <f>工程量计算稿!B111</f>
        <v>绿化种草</v>
      </c>
      <c r="C89" s="165" t="str">
        <f>工程量计算稿!C111</f>
        <v>m2</v>
      </c>
      <c r="D89" s="166">
        <f>结算审核明细表!D123</f>
        <v>29</v>
      </c>
      <c r="E89" s="167">
        <f>结算审核明细表!I123</f>
        <v>0</v>
      </c>
      <c r="F89" s="168">
        <f ca="1">工程量计算稿!E111</f>
        <v>0</v>
      </c>
      <c r="G89" s="169">
        <f ca="1">F89-D89</f>
        <v>-29</v>
      </c>
      <c r="H89" s="169">
        <f ca="1">F89-E89</f>
        <v>0</v>
      </c>
      <c r="I89" s="181"/>
      <c r="J89" s="131"/>
      <c r="K89" s="131"/>
      <c r="L89" s="131"/>
    </row>
    <row r="90" s="123" customFormat="1" ht="16.5" customHeight="1" spans="1:12">
      <c r="A90" s="163" t="str">
        <f>工程量计算稿!A112</f>
        <v>（四）</v>
      </c>
      <c r="B90" s="164" t="str">
        <f>工程量计算稿!B112</f>
        <v>硬化带</v>
      </c>
      <c r="C90" s="165" t="str">
        <f>工程量计算稿!C112</f>
        <v>m</v>
      </c>
      <c r="D90" s="166"/>
      <c r="E90" s="167"/>
      <c r="F90" s="168"/>
      <c r="G90" s="169"/>
      <c r="H90" s="169"/>
      <c r="I90" s="181"/>
      <c r="J90" s="131"/>
      <c r="K90" s="131"/>
      <c r="L90" s="131"/>
    </row>
    <row r="91" s="123" customFormat="1" ht="16.5" customHeight="1" spans="1:12">
      <c r="A91" s="157">
        <f>工程量计算稿!A113</f>
        <v>1</v>
      </c>
      <c r="B91" s="114" t="str">
        <f>工程量计算稿!B113</f>
        <v>5cm厚砂石垫层</v>
      </c>
      <c r="C91" s="158" t="str">
        <f>工程量计算稿!C113</f>
        <v>m3</v>
      </c>
      <c r="D91" s="159">
        <f>结算审核明细表!D125</f>
        <v>0.64</v>
      </c>
      <c r="E91" s="160">
        <f>结算审核明细表!I125</f>
        <v>0</v>
      </c>
      <c r="F91" s="161">
        <f ca="1">工程量计算稿!E113</f>
        <v>0</v>
      </c>
      <c r="G91" s="162">
        <f ca="1">F91-D91</f>
        <v>-0.64</v>
      </c>
      <c r="H91" s="162">
        <f ca="1">F91-E91</f>
        <v>0</v>
      </c>
      <c r="I91" s="179"/>
      <c r="J91" s="185"/>
      <c r="K91" s="131"/>
      <c r="L91" s="131"/>
    </row>
    <row r="92" s="123" customFormat="1" ht="16.5" customHeight="1" spans="1:12">
      <c r="A92" s="157">
        <f>工程量计算稿!A114</f>
        <v>2</v>
      </c>
      <c r="B92" s="114" t="str">
        <f>工程量计算稿!B114</f>
        <v>10cm厚C20砼硬化带</v>
      </c>
      <c r="C92" s="158" t="str">
        <f>工程量计算稿!C114</f>
        <v>m3</v>
      </c>
      <c r="D92" s="159">
        <f>结算审核明细表!D126</f>
        <v>1.28</v>
      </c>
      <c r="E92" s="160">
        <f>结算审核明细表!I126</f>
        <v>0</v>
      </c>
      <c r="F92" s="161">
        <f ca="1">工程量计算稿!E114</f>
        <v>0</v>
      </c>
      <c r="G92" s="162">
        <f ca="1">F92-D92</f>
        <v>-1.28</v>
      </c>
      <c r="H92" s="162">
        <f ca="1">F92-E92</f>
        <v>0</v>
      </c>
      <c r="I92" s="176"/>
      <c r="J92" s="185"/>
      <c r="K92" s="131"/>
      <c r="L92" s="131"/>
    </row>
    <row r="93" s="123" customFormat="1" ht="16.5" customHeight="1" spans="1:12">
      <c r="A93" s="157">
        <f>工程量计算稿!A115</f>
        <v>3</v>
      </c>
      <c r="B93" s="114" t="str">
        <f>工程量计算稿!B115</f>
        <v>人力二次转运材料（500元/t/km,运距0.2km）</v>
      </c>
      <c r="C93" s="158" t="str">
        <f>工程量计算稿!C115</f>
        <v>t</v>
      </c>
      <c r="D93" s="159">
        <f>结算审核明细表!D127</f>
        <v>4.32</v>
      </c>
      <c r="E93" s="160">
        <f>结算审核明细表!I127</f>
        <v>0</v>
      </c>
      <c r="F93" s="161">
        <f ca="1">工程量计算稿!E115</f>
        <v>0</v>
      </c>
      <c r="G93" s="162">
        <f ca="1">F93-D93</f>
        <v>-4.32</v>
      </c>
      <c r="H93" s="162">
        <f ca="1">F93-E93</f>
        <v>0</v>
      </c>
      <c r="I93" s="179"/>
      <c r="J93" s="131"/>
      <c r="K93" s="131"/>
      <c r="L93" s="131"/>
    </row>
    <row r="94" s="123" customFormat="1" ht="16.5" customHeight="1" spans="1:12">
      <c r="A94" s="163" t="str">
        <f>工程量计算稿!A116</f>
        <v>（五）</v>
      </c>
      <c r="B94" s="164" t="str">
        <f>工程量计算稿!B116</f>
        <v>围墙</v>
      </c>
      <c r="C94" s="165" t="str">
        <f>工程量计算稿!C116</f>
        <v>m</v>
      </c>
      <c r="D94" s="166"/>
      <c r="E94" s="167"/>
      <c r="F94" s="168"/>
      <c r="G94" s="169"/>
      <c r="H94" s="169"/>
      <c r="I94" s="181"/>
      <c r="J94" s="131"/>
      <c r="K94" s="131"/>
      <c r="L94" s="131"/>
    </row>
    <row r="95" s="123" customFormat="1" ht="16.5" customHeight="1" spans="1:12">
      <c r="A95" s="157">
        <f>工程量计算稿!A117</f>
        <v>1</v>
      </c>
      <c r="B95" s="114" t="str">
        <f>工程量计算稿!B117</f>
        <v>土方开挖</v>
      </c>
      <c r="C95" s="158" t="str">
        <f>工程量计算稿!C117</f>
        <v>m3</v>
      </c>
      <c r="D95" s="159">
        <f>结算审核明细表!D129</f>
        <v>2.8</v>
      </c>
      <c r="E95" s="160">
        <f>结算审核明细表!I129</f>
        <v>0</v>
      </c>
      <c r="F95" s="161">
        <f ca="1">工程量计算稿!E117</f>
        <v>0</v>
      </c>
      <c r="G95" s="162">
        <f ca="1" t="shared" ref="G95:G117" si="8">F95-D95</f>
        <v>-2.8</v>
      </c>
      <c r="H95" s="162">
        <f ca="1" t="shared" ref="H95:H117" si="9">F95-E95</f>
        <v>0</v>
      </c>
      <c r="I95" s="179"/>
      <c r="J95" s="185"/>
      <c r="K95" s="131"/>
      <c r="L95" s="131"/>
    </row>
    <row r="96" s="123" customFormat="1" ht="16.5" customHeight="1" spans="1:12">
      <c r="A96" s="157">
        <f>工程量计算稿!A118</f>
        <v>2</v>
      </c>
      <c r="B96" s="114" t="str">
        <f>工程量计算稿!B118</f>
        <v>石方开挖</v>
      </c>
      <c r="C96" s="158" t="str">
        <f>工程量计算稿!C118</f>
        <v>m3</v>
      </c>
      <c r="D96" s="159">
        <f>结算审核明细表!D130</f>
        <v>2.8</v>
      </c>
      <c r="E96" s="160">
        <f>结算审核明细表!I130</f>
        <v>0</v>
      </c>
      <c r="F96" s="161">
        <f ca="1">工程量计算稿!E118</f>
        <v>0</v>
      </c>
      <c r="G96" s="162">
        <f ca="1" t="shared" si="8"/>
        <v>-2.8</v>
      </c>
      <c r="H96" s="162">
        <f ca="1" t="shared" si="9"/>
        <v>0</v>
      </c>
      <c r="I96" s="176"/>
      <c r="J96" s="185"/>
      <c r="K96" s="131"/>
      <c r="L96" s="131"/>
    </row>
    <row r="97" s="123" customFormat="1" ht="16.5" customHeight="1" spans="1:12">
      <c r="A97" s="157">
        <f>工程量计算稿!A119</f>
        <v>3</v>
      </c>
      <c r="B97" s="114" t="str">
        <f>工程量计算稿!B119</f>
        <v>土方回填</v>
      </c>
      <c r="C97" s="158" t="str">
        <f>工程量计算稿!C119</f>
        <v>m3</v>
      </c>
      <c r="D97" s="159">
        <f>结算审核明细表!D131</f>
        <v>1.4</v>
      </c>
      <c r="E97" s="160">
        <f>结算审核明细表!I131</f>
        <v>0</v>
      </c>
      <c r="F97" s="161">
        <f ca="1">工程量计算稿!E119</f>
        <v>0</v>
      </c>
      <c r="G97" s="162">
        <f ca="1" t="shared" si="8"/>
        <v>-1.4</v>
      </c>
      <c r="H97" s="162">
        <f ca="1" t="shared" si="9"/>
        <v>0</v>
      </c>
      <c r="I97" s="176"/>
      <c r="J97" s="185"/>
      <c r="K97" s="131"/>
      <c r="L97" s="131"/>
    </row>
    <row r="98" s="122" customFormat="1" ht="16.5" customHeight="1" spans="1:12">
      <c r="A98" s="157">
        <f>工程量计算稿!A120</f>
        <v>4</v>
      </c>
      <c r="B98" s="114" t="str">
        <f>工程量计算稿!B120</f>
        <v>M7.5浆砌页岩砖(墙体)</v>
      </c>
      <c r="C98" s="158" t="str">
        <f>工程量计算稿!C120</f>
        <v>m3</v>
      </c>
      <c r="D98" s="159">
        <f>结算审核明细表!D132</f>
        <v>9.8</v>
      </c>
      <c r="E98" s="160">
        <f>结算审核明细表!I132</f>
        <v>0</v>
      </c>
      <c r="F98" s="161">
        <f ca="1">工程量计算稿!E120</f>
        <v>0</v>
      </c>
      <c r="G98" s="162">
        <f ca="1" t="shared" si="8"/>
        <v>-9.8</v>
      </c>
      <c r="H98" s="162">
        <f ca="1" t="shared" si="9"/>
        <v>0</v>
      </c>
      <c r="I98" s="176"/>
      <c r="J98" s="185"/>
      <c r="K98" s="131"/>
      <c r="L98" s="131"/>
    </row>
    <row r="99" s="122" customFormat="1" ht="16.5" customHeight="1" spans="1:12">
      <c r="A99" s="157">
        <f>工程量计算稿!A121</f>
        <v>5</v>
      </c>
      <c r="B99" s="114" t="str">
        <f>工程量计算稿!B121</f>
        <v>C25混凝土浇筑（基础高0.3m，宽0.3m）</v>
      </c>
      <c r="C99" s="158" t="str">
        <f>工程量计算稿!C121</f>
        <v>m3</v>
      </c>
      <c r="D99" s="159">
        <f>结算审核明细表!D133</f>
        <v>2.52</v>
      </c>
      <c r="E99" s="160">
        <f>结算审核明细表!I133</f>
        <v>0</v>
      </c>
      <c r="F99" s="161">
        <f ca="1">工程量计算稿!E121</f>
        <v>0</v>
      </c>
      <c r="G99" s="162">
        <f ca="1" t="shared" si="8"/>
        <v>-2.52</v>
      </c>
      <c r="H99" s="162">
        <f ca="1" t="shared" si="9"/>
        <v>0</v>
      </c>
      <c r="I99" s="179"/>
      <c r="J99" s="185"/>
      <c r="K99" s="131"/>
      <c r="L99" s="131"/>
    </row>
    <row r="100" s="122" customFormat="1" ht="16.5" customHeight="1" spans="1:12">
      <c r="A100" s="157">
        <f>工程量计算稿!A122</f>
        <v>6</v>
      </c>
      <c r="B100" s="114" t="str">
        <f>工程量计算稿!B122</f>
        <v>钢筋制安</v>
      </c>
      <c r="C100" s="158" t="str">
        <f>工程量计算稿!C122</f>
        <v>t</v>
      </c>
      <c r="D100" s="159">
        <f>结算审核明细表!D134</f>
        <v>0.2464</v>
      </c>
      <c r="E100" s="160">
        <f>结算审核明细表!I134</f>
        <v>0</v>
      </c>
      <c r="F100" s="161">
        <f ca="1">工程量计算稿!E122</f>
        <v>0</v>
      </c>
      <c r="G100" s="162">
        <f ca="1" t="shared" si="8"/>
        <v>-0.2464</v>
      </c>
      <c r="H100" s="162">
        <f ca="1" t="shared" si="9"/>
        <v>0</v>
      </c>
      <c r="I100" s="179"/>
      <c r="J100" s="185"/>
      <c r="K100" s="131"/>
      <c r="L100" s="131"/>
    </row>
    <row r="101" s="122" customFormat="1" ht="16.5" customHeight="1" spans="1:12">
      <c r="A101" s="157">
        <f>工程量计算稿!A123</f>
        <v>7</v>
      </c>
      <c r="B101" s="114" t="str">
        <f>工程量计算稿!B123</f>
        <v>围墙双面贴瓷砖</v>
      </c>
      <c r="C101" s="158" t="str">
        <f>工程量计算稿!C123</f>
        <v>m2</v>
      </c>
      <c r="D101" s="159">
        <f>结算审核明细表!D135</f>
        <v>84</v>
      </c>
      <c r="E101" s="160">
        <f>结算审核明细表!I135</f>
        <v>0</v>
      </c>
      <c r="F101" s="161">
        <f ca="1">工程量计算稿!E123</f>
        <v>0</v>
      </c>
      <c r="G101" s="162">
        <f ca="1" t="shared" si="8"/>
        <v>-84</v>
      </c>
      <c r="H101" s="162">
        <f ca="1" t="shared" si="9"/>
        <v>0</v>
      </c>
      <c r="I101" s="179"/>
      <c r="J101" s="185"/>
      <c r="K101" s="131"/>
      <c r="L101" s="131"/>
    </row>
    <row r="102" s="122" customFormat="1" ht="16.5" customHeight="1" spans="1:12">
      <c r="A102" s="157">
        <f>工程量计算稿!A124</f>
        <v>8</v>
      </c>
      <c r="B102" s="114" t="str">
        <f>工程量计算稿!B124</f>
        <v>M10砂浆抹面</v>
      </c>
      <c r="C102" s="158" t="str">
        <f>工程量计算稿!C124</f>
        <v>m2</v>
      </c>
      <c r="D102" s="159">
        <f>结算审核明细表!D136</f>
        <v>84</v>
      </c>
      <c r="E102" s="160">
        <f>结算审核明细表!I136</f>
        <v>0</v>
      </c>
      <c r="F102" s="161">
        <f ca="1">工程量计算稿!E124</f>
        <v>0</v>
      </c>
      <c r="G102" s="162">
        <f ca="1" t="shared" si="8"/>
        <v>-84</v>
      </c>
      <c r="H102" s="162">
        <f ca="1" t="shared" si="9"/>
        <v>0</v>
      </c>
      <c r="I102" s="179"/>
      <c r="J102" s="185"/>
      <c r="K102" s="180"/>
      <c r="L102" s="180"/>
    </row>
    <row r="103" s="122" customFormat="1" ht="16.5" customHeight="1" spans="1:12">
      <c r="A103" s="157">
        <f>工程量计算稿!A125</f>
        <v>9</v>
      </c>
      <c r="B103" s="114" t="str">
        <f>工程量计算稿!B125</f>
        <v>人力二次转运材料（500元/t/km,运距0.2km）</v>
      </c>
      <c r="C103" s="158" t="str">
        <f>工程量计算稿!C125</f>
        <v>t</v>
      </c>
      <c r="D103" s="159">
        <f>结算审核明细表!D137</f>
        <v>28.56</v>
      </c>
      <c r="E103" s="160">
        <f>结算审核明细表!I137</f>
        <v>0</v>
      </c>
      <c r="F103" s="161">
        <f ca="1">工程量计算稿!E125</f>
        <v>0</v>
      </c>
      <c r="G103" s="162">
        <f ca="1" t="shared" si="8"/>
        <v>-28.56</v>
      </c>
      <c r="H103" s="162">
        <f ca="1" t="shared" si="9"/>
        <v>0</v>
      </c>
      <c r="I103" s="179"/>
      <c r="J103" s="131"/>
      <c r="K103" s="131"/>
      <c r="L103" s="131"/>
    </row>
    <row r="104" s="122" customFormat="1" ht="16.5" customHeight="1" spans="1:12">
      <c r="A104" s="163" t="str">
        <f>工程量计算稿!A126</f>
        <v>（六）</v>
      </c>
      <c r="B104" s="164" t="str">
        <f>工程量计算稿!B126</f>
        <v>不锈钢大门</v>
      </c>
      <c r="C104" s="165" t="str">
        <f>工程量计算稿!C126</f>
        <v>m2</v>
      </c>
      <c r="D104" s="166">
        <f>结算审核明细表!D138</f>
        <v>1</v>
      </c>
      <c r="E104" s="167">
        <f>结算审核明细表!I138</f>
        <v>0</v>
      </c>
      <c r="F104" s="168">
        <f ca="1">工程量计算稿!E126</f>
        <v>0</v>
      </c>
      <c r="G104" s="169">
        <f ca="1" t="shared" si="8"/>
        <v>-1</v>
      </c>
      <c r="H104" s="169">
        <f ca="1" t="shared" si="9"/>
        <v>0</v>
      </c>
      <c r="I104" s="181"/>
      <c r="J104" s="185"/>
      <c r="K104" s="131"/>
      <c r="L104" s="131"/>
    </row>
    <row r="105" s="122" customFormat="1" ht="16.5" customHeight="1" spans="1:12">
      <c r="A105" s="163" t="str">
        <f>工程量计算稿!A127</f>
        <v>（七）</v>
      </c>
      <c r="B105" s="164" t="str">
        <f>工程量计算稿!B127</f>
        <v>厂牌 安全饮水标志牌 简介牌</v>
      </c>
      <c r="C105" s="165" t="str">
        <f>工程量计算稿!C127</f>
        <v>套</v>
      </c>
      <c r="D105" s="166">
        <f>结算审核明细表!D139</f>
        <v>1</v>
      </c>
      <c r="E105" s="167">
        <f>结算审核明细表!I139</f>
        <v>0</v>
      </c>
      <c r="F105" s="168">
        <f ca="1">工程量计算稿!E127</f>
        <v>0</v>
      </c>
      <c r="G105" s="169">
        <f ca="1" t="shared" si="8"/>
        <v>-1</v>
      </c>
      <c r="H105" s="169">
        <f ca="1" t="shared" si="9"/>
        <v>0</v>
      </c>
      <c r="I105" s="181"/>
      <c r="J105" s="185"/>
      <c r="K105" s="131"/>
      <c r="L105" s="131"/>
    </row>
    <row r="106" s="123" customFormat="1" ht="16.5" customHeight="1" spans="1:12">
      <c r="A106" s="150" t="str">
        <f>工程量计算稿!A128</f>
        <v>四</v>
      </c>
      <c r="B106" s="151" t="str">
        <f>工程量计算稿!B128</f>
        <v>新增泵房</v>
      </c>
      <c r="C106" s="152" t="str">
        <f>工程量计算稿!C128</f>
        <v>个</v>
      </c>
      <c r="D106" s="153"/>
      <c r="E106" s="154"/>
      <c r="F106" s="155"/>
      <c r="G106" s="156"/>
      <c r="H106" s="156"/>
      <c r="I106" s="178"/>
      <c r="J106" s="131"/>
      <c r="K106" s="131"/>
      <c r="L106" s="131"/>
    </row>
    <row r="107" s="123" customFormat="1" ht="16.5" customHeight="1" spans="1:12">
      <c r="A107" s="157">
        <f>工程量计算稿!A129</f>
        <v>1</v>
      </c>
      <c r="B107" s="114" t="str">
        <f>工程量计算稿!B129</f>
        <v>土方开挖</v>
      </c>
      <c r="C107" s="158" t="str">
        <f>工程量计算稿!C129</f>
        <v>m3</v>
      </c>
      <c r="D107" s="159">
        <f>结算审核明细表!D141</f>
        <v>3.19</v>
      </c>
      <c r="E107" s="160">
        <f>结算审核明细表!I141</f>
        <v>21</v>
      </c>
      <c r="F107" s="161">
        <f ca="1">工程量计算稿!E129</f>
        <v>21</v>
      </c>
      <c r="G107" s="162">
        <f ca="1" t="shared" si="8"/>
        <v>17.81</v>
      </c>
      <c r="H107" s="162">
        <f ca="1" t="shared" si="9"/>
        <v>0</v>
      </c>
      <c r="I107" s="179"/>
      <c r="J107" s="185"/>
      <c r="K107" s="131"/>
      <c r="L107" s="131"/>
    </row>
    <row r="108" s="123" customFormat="1" ht="16.5" customHeight="1" spans="1:12">
      <c r="A108" s="157">
        <f>工程量计算稿!A130</f>
        <v>2</v>
      </c>
      <c r="B108" s="114" t="str">
        <f>工程量计算稿!B130</f>
        <v>石方开挖</v>
      </c>
      <c r="C108" s="158" t="str">
        <f>工程量计算稿!C130</f>
        <v>m3</v>
      </c>
      <c r="D108" s="159">
        <f>结算审核明细表!D142</f>
        <v>14.71</v>
      </c>
      <c r="E108" s="160">
        <f>结算审核明细表!I142</f>
        <v>3.26</v>
      </c>
      <c r="F108" s="161">
        <f ca="1">工程量计算稿!E130</f>
        <v>3.255</v>
      </c>
      <c r="G108" s="162">
        <f ca="1" t="shared" si="8"/>
        <v>-11.455</v>
      </c>
      <c r="H108" s="162">
        <f ca="1" t="shared" si="9"/>
        <v>-0.00499999999999945</v>
      </c>
      <c r="I108" s="179"/>
      <c r="J108" s="185"/>
      <c r="K108" s="131"/>
      <c r="L108" s="131"/>
    </row>
    <row r="109" s="123" customFormat="1" ht="16.5" customHeight="1" spans="1:12">
      <c r="A109" s="157">
        <f>工程量计算稿!A131</f>
        <v>3</v>
      </c>
      <c r="B109" s="114" t="str">
        <f>工程量计算稿!B131</f>
        <v>土方回填</v>
      </c>
      <c r="C109" s="158" t="str">
        <f>工程量计算稿!C131</f>
        <v>m3</v>
      </c>
      <c r="D109" s="159">
        <f>结算审核明细表!D143</f>
        <v>6</v>
      </c>
      <c r="E109" s="160">
        <f>结算审核明细表!I143</f>
        <v>0</v>
      </c>
      <c r="F109" s="161">
        <f ca="1">工程量计算稿!E131</f>
        <v>0</v>
      </c>
      <c r="G109" s="162">
        <f ca="1" t="shared" si="8"/>
        <v>-6</v>
      </c>
      <c r="H109" s="162">
        <f ca="1" t="shared" si="9"/>
        <v>0</v>
      </c>
      <c r="I109" s="179"/>
      <c r="J109" s="185"/>
      <c r="K109" s="131"/>
      <c r="L109" s="131"/>
    </row>
    <row r="110" s="123" customFormat="1" ht="16.5" customHeight="1" spans="1:12">
      <c r="A110" s="157">
        <f>工程量计算稿!A132</f>
        <v>4</v>
      </c>
      <c r="B110" s="114" t="str">
        <f>工程量计算稿!B132</f>
        <v>C25混凝土浇筑</v>
      </c>
      <c r="C110" s="158" t="str">
        <f>工程量计算稿!C132</f>
        <v>m3</v>
      </c>
      <c r="D110" s="159">
        <f>结算审核明细表!D144</f>
        <v>7.8</v>
      </c>
      <c r="E110" s="160">
        <f>结算审核明细表!I144</f>
        <v>10.23</v>
      </c>
      <c r="F110" s="161">
        <f ca="1">工程量计算稿!E132</f>
        <v>6.282987</v>
      </c>
      <c r="G110" s="162">
        <f ca="1" t="shared" si="8"/>
        <v>-1.517013</v>
      </c>
      <c r="H110" s="162">
        <f ca="1" t="shared" si="9"/>
        <v>-3.947013</v>
      </c>
      <c r="I110" s="179"/>
      <c r="J110" s="185"/>
      <c r="K110" s="131"/>
      <c r="L110" s="131"/>
    </row>
    <row r="111" s="123" customFormat="1" ht="16.5" customHeight="1" spans="1:12">
      <c r="A111" s="157">
        <f>工程量计算稿!A139</f>
        <v>5</v>
      </c>
      <c r="B111" s="114" t="str">
        <f>工程量计算稿!B139</f>
        <v>M7.5浆砌页岩砖</v>
      </c>
      <c r="C111" s="158" t="str">
        <f>工程量计算稿!C139</f>
        <v>m3</v>
      </c>
      <c r="D111" s="159">
        <f>结算审核明细表!D145</f>
        <v>12</v>
      </c>
      <c r="E111" s="160">
        <f>结算审核明细表!I145</f>
        <v>9.05</v>
      </c>
      <c r="F111" s="161">
        <f ca="1">工程量计算稿!E139</f>
        <v>6.6168</v>
      </c>
      <c r="G111" s="162">
        <f ca="1" t="shared" si="8"/>
        <v>-5.3832</v>
      </c>
      <c r="H111" s="162">
        <f ca="1" t="shared" si="9"/>
        <v>-2.4332</v>
      </c>
      <c r="I111" s="176"/>
      <c r="J111" s="185"/>
      <c r="K111" s="131"/>
      <c r="L111" s="131"/>
    </row>
    <row r="112" s="123" customFormat="1" ht="16.5" customHeight="1" spans="1:12">
      <c r="A112" s="157">
        <f>工程量计算稿!A140</f>
        <v>6</v>
      </c>
      <c r="B112" s="114" t="str">
        <f>工程量计算稿!B140</f>
        <v>M10砂浆抹面</v>
      </c>
      <c r="C112" s="158" t="str">
        <f>工程量计算稿!C140</f>
        <v>m2</v>
      </c>
      <c r="D112" s="159">
        <f>结算审核明细表!D146</f>
        <v>97.9</v>
      </c>
      <c r="E112" s="160">
        <f>结算审核明细表!I146</f>
        <v>75.44</v>
      </c>
      <c r="F112" s="161">
        <f ca="1">工程量计算稿!E140</f>
        <v>55.14</v>
      </c>
      <c r="G112" s="162">
        <f ca="1" t="shared" si="8"/>
        <v>-42.76</v>
      </c>
      <c r="H112" s="162">
        <f ca="1" t="shared" si="9"/>
        <v>-20.3</v>
      </c>
      <c r="I112" s="179"/>
      <c r="J112" s="185"/>
      <c r="K112" s="131"/>
      <c r="L112" s="131"/>
    </row>
    <row r="113" s="123" customFormat="1" ht="16.5" customHeight="1" spans="1:12">
      <c r="A113" s="157">
        <f>工程量计算稿!A141</f>
        <v>7</v>
      </c>
      <c r="B113" s="114" t="str">
        <f>工程量计算稿!B141</f>
        <v>塑钢玻璃窗</v>
      </c>
      <c r="C113" s="158" t="str">
        <f>工程量计算稿!C141</f>
        <v>m2</v>
      </c>
      <c r="D113" s="159">
        <f>结算审核明细表!D147</f>
        <v>5.4</v>
      </c>
      <c r="E113" s="160">
        <f>结算审核明细表!I147</f>
        <v>0.8</v>
      </c>
      <c r="F113" s="161">
        <f ca="1">工程量计算稿!E141</f>
        <v>0.75</v>
      </c>
      <c r="G113" s="162">
        <f ca="1" t="shared" si="8"/>
        <v>-4.65</v>
      </c>
      <c r="H113" s="162">
        <f ca="1" t="shared" si="9"/>
        <v>-0.05</v>
      </c>
      <c r="I113" s="179"/>
      <c r="J113" s="185" t="str">
        <f>B113</f>
        <v>塑钢玻璃窗</v>
      </c>
      <c r="K113" s="131">
        <f ca="1">G113</f>
        <v>-4.65</v>
      </c>
      <c r="L113" s="131">
        <f ca="1">H113</f>
        <v>-0.05</v>
      </c>
    </row>
    <row r="114" s="123" customFormat="1" ht="16.5" customHeight="1" spans="1:12">
      <c r="A114" s="157">
        <f>工程量计算稿!A142</f>
        <v>8</v>
      </c>
      <c r="B114" s="114" t="str">
        <f>工程量计算稿!B142</f>
        <v>钢筋制安</v>
      </c>
      <c r="C114" s="158" t="str">
        <f>工程量计算稿!C142</f>
        <v>t</v>
      </c>
      <c r="D114" s="159">
        <f>结算审核明细表!D148</f>
        <v>0.3</v>
      </c>
      <c r="E114" s="160">
        <f>结算审核明细表!I148</f>
        <v>0.3</v>
      </c>
      <c r="F114" s="161">
        <f ca="1">工程量计算稿!E142</f>
        <v>0.41969353</v>
      </c>
      <c r="G114" s="162">
        <f ca="1" t="shared" si="8"/>
        <v>0.11969353</v>
      </c>
      <c r="H114" s="162">
        <f ca="1" t="shared" si="9"/>
        <v>0.11969353</v>
      </c>
      <c r="I114" s="179"/>
      <c r="J114" s="185"/>
      <c r="K114" s="131"/>
      <c r="L114" s="131"/>
    </row>
    <row r="115" s="123" customFormat="1" ht="16.5" customHeight="1" spans="1:12">
      <c r="A115" s="157">
        <f>工程量计算稿!A143</f>
        <v>9</v>
      </c>
      <c r="B115" s="114" t="str">
        <f>工程量计算稿!B143</f>
        <v>模板制安</v>
      </c>
      <c r="C115" s="158" t="str">
        <f>工程量计算稿!C143</f>
        <v>m2</v>
      </c>
      <c r="D115" s="159">
        <f>结算审核明细表!D149</f>
        <v>41.8</v>
      </c>
      <c r="E115" s="160">
        <f>结算审核明细表!I149</f>
        <v>34.85</v>
      </c>
      <c r="F115" s="161">
        <f ca="1">工程量计算稿!E143</f>
        <v>27.59195</v>
      </c>
      <c r="G115" s="162">
        <f ca="1" t="shared" si="8"/>
        <v>-14.20805</v>
      </c>
      <c r="H115" s="162">
        <f ca="1" t="shared" si="9"/>
        <v>-7.25805</v>
      </c>
      <c r="I115" s="179"/>
      <c r="J115" s="185"/>
      <c r="K115" s="131"/>
      <c r="L115" s="131"/>
    </row>
    <row r="116" s="123" customFormat="1" ht="16.5" customHeight="1" spans="1:12">
      <c r="A116" s="157">
        <f>工程量计算稿!A144</f>
        <v>10</v>
      </c>
      <c r="B116" s="114" t="str">
        <f>工程量计算稿!B144</f>
        <v>人力二次转运材料（500元/t/km,运距0.2km）</v>
      </c>
      <c r="C116" s="158" t="str">
        <f>工程量计算稿!C144</f>
        <v>t</v>
      </c>
      <c r="D116" s="159">
        <f>结算审核明细表!D150</f>
        <v>46</v>
      </c>
      <c r="E116" s="160">
        <f>结算审核明细表!I150</f>
        <v>41</v>
      </c>
      <c r="F116" s="161">
        <f ca="1">工程量计算稿!E144</f>
        <v>0</v>
      </c>
      <c r="G116" s="162">
        <f ca="1" t="shared" si="8"/>
        <v>-46</v>
      </c>
      <c r="H116" s="162">
        <f ca="1" t="shared" si="9"/>
        <v>-41</v>
      </c>
      <c r="I116" s="179"/>
      <c r="J116" s="131"/>
      <c r="K116" s="131"/>
      <c r="L116" s="131"/>
    </row>
    <row r="117" s="123" customFormat="1" ht="16.5" customHeight="1" spans="1:12">
      <c r="A117" s="157">
        <f>工程量计算稿!A145</f>
        <v>11</v>
      </c>
      <c r="B117" s="114" t="str">
        <f>工程量计算稿!B145</f>
        <v>防盗门</v>
      </c>
      <c r="C117" s="158" t="str">
        <f>工程量计算稿!C145</f>
        <v>座</v>
      </c>
      <c r="D117" s="159">
        <f>结算审核明细表!D151</f>
        <v>0</v>
      </c>
      <c r="E117" s="160">
        <f>结算审核明细表!I151</f>
        <v>0</v>
      </c>
      <c r="F117" s="161">
        <f ca="1">工程量计算稿!E145</f>
        <v>1</v>
      </c>
      <c r="G117" s="162">
        <f ca="1" t="shared" si="8"/>
        <v>1</v>
      </c>
      <c r="H117" s="162">
        <f ca="1" t="shared" si="9"/>
        <v>1</v>
      </c>
      <c r="I117" s="179"/>
      <c r="J117" s="131"/>
      <c r="K117" s="131"/>
      <c r="L117" s="131"/>
    </row>
    <row r="118" s="123" customFormat="1" ht="16.5" customHeight="1" spans="1:12">
      <c r="A118" s="150" t="str">
        <f>工程量计算稿!A146</f>
        <v>五</v>
      </c>
      <c r="B118" s="151" t="str">
        <f>工程量计算稿!B146</f>
        <v>配水工程</v>
      </c>
      <c r="C118" s="152"/>
      <c r="D118" s="153"/>
      <c r="E118" s="154"/>
      <c r="F118" s="155"/>
      <c r="G118" s="156"/>
      <c r="H118" s="156"/>
      <c r="I118" s="178"/>
      <c r="J118" s="131"/>
      <c r="K118" s="131"/>
      <c r="L118" s="131"/>
    </row>
    <row r="119" s="123" customFormat="1" ht="16.5" customHeight="1" spans="1:12">
      <c r="A119" s="157">
        <f>工程量计算稿!A147</f>
        <v>1</v>
      </c>
      <c r="B119" s="114" t="str">
        <f>工程量计算稿!B147</f>
        <v>公路混凝土破碎</v>
      </c>
      <c r="C119" s="158"/>
      <c r="D119" s="159">
        <f>结算审核明细表!D158</f>
        <v>2</v>
      </c>
      <c r="E119" s="160">
        <f>结算审核明细表!I158</f>
        <v>0</v>
      </c>
      <c r="F119" s="161">
        <f ca="1">工程量计算稿!E147</f>
        <v>0</v>
      </c>
      <c r="G119" s="162">
        <f ca="1" t="shared" ref="G118:G126" si="10">F119-D119</f>
        <v>-2</v>
      </c>
      <c r="H119" s="162">
        <f ca="1" t="shared" ref="H118:H126" si="11">F119-E119</f>
        <v>0</v>
      </c>
      <c r="I119" s="179"/>
      <c r="J119" s="131"/>
      <c r="K119" s="131"/>
      <c r="L119" s="131"/>
    </row>
    <row r="120" s="123" customFormat="1" ht="16.5" customHeight="1" spans="1:12">
      <c r="A120" s="157">
        <f>工程量计算稿!A148</f>
        <v>2</v>
      </c>
      <c r="B120" s="114" t="str">
        <f>工程量计算稿!B148</f>
        <v>C25砼路面恢复</v>
      </c>
      <c r="C120" s="158" t="str">
        <f>工程量计算稿!C148</f>
        <v>m3</v>
      </c>
      <c r="D120" s="159">
        <f>结算审核明细表!D159</f>
        <v>2</v>
      </c>
      <c r="E120" s="160">
        <f>结算审核明细表!I159</f>
        <v>0</v>
      </c>
      <c r="F120" s="161">
        <f ca="1">工程量计算稿!E148</f>
        <v>0</v>
      </c>
      <c r="G120" s="162">
        <f ca="1" t="shared" si="10"/>
        <v>-2</v>
      </c>
      <c r="H120" s="162">
        <f ca="1" t="shared" si="11"/>
        <v>0</v>
      </c>
      <c r="I120" s="179"/>
      <c r="J120" s="185"/>
      <c r="K120" s="131"/>
      <c r="L120" s="131"/>
    </row>
    <row r="121" s="123" customFormat="1" ht="16.5" customHeight="1" spans="1:12">
      <c r="A121" s="150" t="str">
        <f>工程量计算稿!A149</f>
        <v>新增</v>
      </c>
      <c r="B121" s="152" t="str">
        <f>工程量计算稿!B149</f>
        <v>沟槽开挖、回填</v>
      </c>
      <c r="C121" s="152"/>
      <c r="D121" s="153"/>
      <c r="E121" s="154"/>
      <c r="F121" s="155"/>
      <c r="G121" s="156"/>
      <c r="H121" s="156"/>
      <c r="I121" s="178"/>
      <c r="J121" s="131"/>
      <c r="K121" s="131"/>
      <c r="L121" s="131"/>
    </row>
    <row r="122" s="123" customFormat="1" ht="16.5" customHeight="1" spans="1:12">
      <c r="A122" s="157">
        <f>工程量计算稿!A150</f>
        <v>1</v>
      </c>
      <c r="B122" s="114" t="str">
        <f>工程量计算稿!B150</f>
        <v>土方沟槽开挖、回填</v>
      </c>
      <c r="C122" s="158" t="str">
        <f>工程量计算稿!C150</f>
        <v>m</v>
      </c>
      <c r="D122" s="159"/>
      <c r="E122" s="160">
        <f>结算审核明细表!I161</f>
        <v>9466</v>
      </c>
      <c r="F122" s="161">
        <f ca="1">工程量计算稿!E150</f>
        <v>0</v>
      </c>
      <c r="G122" s="162">
        <f ca="1" t="shared" si="10"/>
        <v>0</v>
      </c>
      <c r="H122" s="162">
        <f ca="1" t="shared" si="11"/>
        <v>-9466</v>
      </c>
      <c r="I122" s="179" t="s">
        <v>92</v>
      </c>
      <c r="J122" s="185"/>
      <c r="K122" s="131"/>
      <c r="L122" s="131"/>
    </row>
    <row r="123" s="123" customFormat="1" ht="16.5" customHeight="1" spans="1:12">
      <c r="A123" s="157">
        <f>工程量计算稿!A151</f>
        <v>2</v>
      </c>
      <c r="B123" s="114" t="str">
        <f>工程量计算稿!B151</f>
        <v>石方沟槽开挖、回填</v>
      </c>
      <c r="C123" s="158" t="str">
        <f>工程量计算稿!C151</f>
        <v>m</v>
      </c>
      <c r="D123" s="159"/>
      <c r="E123" s="160">
        <f>结算审核明细表!I162</f>
        <v>3930</v>
      </c>
      <c r="F123" s="161">
        <f ca="1">工程量计算稿!E151</f>
        <v>0</v>
      </c>
      <c r="G123" s="162">
        <f ca="1" t="shared" si="10"/>
        <v>0</v>
      </c>
      <c r="H123" s="162">
        <f ca="1" t="shared" si="11"/>
        <v>-3930</v>
      </c>
      <c r="I123" s="179" t="s">
        <v>92</v>
      </c>
      <c r="J123" s="185"/>
      <c r="K123" s="131"/>
      <c r="L123" s="131"/>
    </row>
    <row r="124" s="123" customFormat="1" ht="16.5" customHeight="1" spans="1:12">
      <c r="A124" s="157">
        <f>工程量计算稿!A152</f>
        <v>3</v>
      </c>
      <c r="B124" s="114" t="str">
        <f>工程量计算稿!B152</f>
        <v>土方开挖</v>
      </c>
      <c r="C124" s="158" t="str">
        <f>工程量计算稿!C152</f>
        <v>m3</v>
      </c>
      <c r="D124" s="159"/>
      <c r="E124" s="160">
        <f>结算审核明细表!I163</f>
        <v>0</v>
      </c>
      <c r="F124" s="161">
        <f ca="1">工程量计算稿!E152</f>
        <v>2499.024</v>
      </c>
      <c r="G124" s="162">
        <f ca="1" t="shared" si="10"/>
        <v>2499.024</v>
      </c>
      <c r="H124" s="162">
        <f ca="1" t="shared" si="11"/>
        <v>2499.024</v>
      </c>
      <c r="I124" s="179"/>
      <c r="J124" s="185"/>
      <c r="K124" s="131"/>
      <c r="L124" s="131"/>
    </row>
    <row r="125" s="123" customFormat="1" ht="16.5" customHeight="1" spans="1:12">
      <c r="A125" s="157">
        <f>工程量计算稿!A153</f>
        <v>4</v>
      </c>
      <c r="B125" s="114" t="str">
        <f>工程量计算稿!B153</f>
        <v>石方开挖</v>
      </c>
      <c r="C125" s="158" t="str">
        <f>工程量计算稿!C153</f>
        <v>m3</v>
      </c>
      <c r="D125" s="159"/>
      <c r="E125" s="160">
        <f>结算审核明细表!I164</f>
        <v>0</v>
      </c>
      <c r="F125" s="161">
        <f ca="1">工程量计算稿!E153</f>
        <v>589.5</v>
      </c>
      <c r="G125" s="162">
        <f ca="1" t="shared" si="10"/>
        <v>589.5</v>
      </c>
      <c r="H125" s="162">
        <f ca="1" t="shared" si="11"/>
        <v>589.5</v>
      </c>
      <c r="I125" s="179"/>
      <c r="J125" s="185"/>
      <c r="K125" s="131"/>
      <c r="L125" s="131"/>
    </row>
    <row r="126" s="123" customFormat="1" ht="16.5" customHeight="1" spans="1:12">
      <c r="A126" s="157">
        <f>工程量计算稿!A154</f>
        <v>5</v>
      </c>
      <c r="B126" s="114" t="str">
        <f>工程量计算稿!B154</f>
        <v>土方回填</v>
      </c>
      <c r="C126" s="158" t="str">
        <f>工程量计算稿!C154</f>
        <v>m3</v>
      </c>
      <c r="D126" s="159"/>
      <c r="E126" s="160">
        <f>结算审核明细表!I165</f>
        <v>0</v>
      </c>
      <c r="F126" s="161">
        <f ca="1">工程量计算稿!E154</f>
        <v>3046.78255166</v>
      </c>
      <c r="G126" s="162">
        <f ca="1" t="shared" si="10"/>
        <v>3046.78255166</v>
      </c>
      <c r="H126" s="162">
        <f ca="1" t="shared" si="11"/>
        <v>3046.78255166</v>
      </c>
      <c r="I126" s="179"/>
      <c r="J126" s="185"/>
      <c r="K126" s="131"/>
      <c r="L126" s="131"/>
    </row>
    <row r="127" s="124" customFormat="1" ht="16.5" customHeight="1" spans="1:12">
      <c r="A127" s="188"/>
      <c r="B127" s="189" t="str">
        <f>工程量计算稿!B155</f>
        <v>第二部分 机电设备安装工程</v>
      </c>
      <c r="C127" s="189"/>
      <c r="D127" s="190"/>
      <c r="E127" s="191"/>
      <c r="F127" s="143"/>
      <c r="G127" s="147"/>
      <c r="H127" s="147"/>
      <c r="I127" s="176"/>
      <c r="J127" s="131"/>
      <c r="K127" s="131"/>
      <c r="L127" s="131"/>
    </row>
    <row r="128" s="123" customFormat="1" ht="16.5" customHeight="1" spans="1:12">
      <c r="A128" s="150" t="str">
        <f>工程量计算稿!A156</f>
        <v>一</v>
      </c>
      <c r="B128" s="151" t="str">
        <f>工程量计算稿!B156</f>
        <v>新增泵房及附属设备</v>
      </c>
      <c r="C128" s="152"/>
      <c r="D128" s="153"/>
      <c r="E128" s="154"/>
      <c r="F128" s="155"/>
      <c r="G128" s="156"/>
      <c r="H128" s="156"/>
      <c r="I128" s="178"/>
      <c r="J128" s="131"/>
      <c r="K128" s="131"/>
      <c r="L128" s="131"/>
    </row>
    <row r="129" s="123" customFormat="1" ht="16.5" customHeight="1" spans="1:12">
      <c r="A129" s="157">
        <f>工程量计算稿!A157</f>
        <v>1</v>
      </c>
      <c r="B129" s="114" t="str">
        <f>工程量计算稿!B157</f>
        <v>DN40热镀锌钢管壁厚3.5</v>
      </c>
      <c r="C129" s="158" t="str">
        <f>工程量计算稿!C157</f>
        <v>m</v>
      </c>
      <c r="D129" s="159">
        <f>结算审核明细表!D168</f>
        <v>800</v>
      </c>
      <c r="E129" s="160">
        <f>结算审核明细表!I168</f>
        <v>0</v>
      </c>
      <c r="F129" s="161">
        <f ca="1">工程量计算稿!E157</f>
        <v>800</v>
      </c>
      <c r="G129" s="162">
        <f ca="1" t="shared" ref="G129:G134" si="12">F129-D129</f>
        <v>0</v>
      </c>
      <c r="H129" s="162">
        <f ca="1" t="shared" ref="H129:H134" si="13">F129-E129</f>
        <v>800</v>
      </c>
      <c r="I129" s="179"/>
      <c r="J129" s="131" t="s">
        <v>93</v>
      </c>
      <c r="K129" s="131">
        <f ca="1" t="shared" ref="K129:K132" si="14">G129</f>
        <v>0</v>
      </c>
      <c r="L129" s="131">
        <f ca="1" t="shared" ref="L129:L132" si="15">H129</f>
        <v>800</v>
      </c>
    </row>
    <row r="130" s="123" customFormat="1" ht="16.5" customHeight="1" spans="1:12">
      <c r="A130" s="157">
        <f>工程量计算稿!A158</f>
        <v>2</v>
      </c>
      <c r="B130" s="114" t="str">
        <f>工程量计算稿!B158</f>
        <v>离心泵及电机，启动柜等</v>
      </c>
      <c r="C130" s="158" t="str">
        <f>工程量计算稿!C158</f>
        <v>套</v>
      </c>
      <c r="D130" s="159">
        <f>结算审核明细表!D169</f>
        <v>2</v>
      </c>
      <c r="E130" s="160">
        <f>结算审核明细表!I169</f>
        <v>2</v>
      </c>
      <c r="F130" s="161">
        <f ca="1">工程量计算稿!E158</f>
        <v>2</v>
      </c>
      <c r="G130" s="162">
        <f ca="1" t="shared" si="12"/>
        <v>0</v>
      </c>
      <c r="H130" s="162">
        <f ca="1" t="shared" si="13"/>
        <v>0</v>
      </c>
      <c r="I130" s="179"/>
      <c r="J130" s="131"/>
      <c r="K130" s="131"/>
      <c r="L130" s="131"/>
    </row>
    <row r="131" s="123" customFormat="1" ht="16.5" customHeight="1" spans="1:12">
      <c r="A131" s="157">
        <f>工程量计算稿!A159</f>
        <v>3</v>
      </c>
      <c r="B131" s="114" t="str">
        <f>工程量计算稿!B159</f>
        <v>新增两口池子的紫外线杀毒灯</v>
      </c>
      <c r="C131" s="158" t="str">
        <f>工程量计算稿!C159</f>
        <v>个</v>
      </c>
      <c r="D131" s="159">
        <f>结算审核明细表!D170</f>
        <v>2</v>
      </c>
      <c r="E131" s="160">
        <f>结算审核明细表!I170</f>
        <v>1</v>
      </c>
      <c r="F131" s="161">
        <f ca="1">工程量计算稿!E159</f>
        <v>1</v>
      </c>
      <c r="G131" s="162">
        <f ca="1" t="shared" si="12"/>
        <v>-1</v>
      </c>
      <c r="H131" s="162">
        <f ca="1" t="shared" si="13"/>
        <v>0</v>
      </c>
      <c r="I131" s="179"/>
      <c r="J131" s="131" t="s">
        <v>94</v>
      </c>
      <c r="K131" s="131">
        <f ca="1" t="shared" si="14"/>
        <v>-1</v>
      </c>
      <c r="L131" s="131">
        <f ca="1" t="shared" si="15"/>
        <v>0</v>
      </c>
    </row>
    <row r="132" s="123" customFormat="1" ht="16.5" customHeight="1" spans="1:12">
      <c r="A132" s="157">
        <f>工程量计算稿!A160</f>
        <v>4</v>
      </c>
      <c r="B132" s="114" t="str">
        <f>工程量计算稿!B160</f>
        <v>220V供电线路</v>
      </c>
      <c r="C132" s="158" t="str">
        <f>工程量计算稿!C160</f>
        <v>m</v>
      </c>
      <c r="D132" s="159">
        <f>结算审核明细表!D171</f>
        <v>400</v>
      </c>
      <c r="E132" s="160">
        <f>结算审核明细表!I171</f>
        <v>210</v>
      </c>
      <c r="F132" s="161">
        <f ca="1">工程量计算稿!E160</f>
        <v>210</v>
      </c>
      <c r="G132" s="162">
        <f ca="1" t="shared" si="12"/>
        <v>-190</v>
      </c>
      <c r="H132" s="162">
        <f ca="1" t="shared" si="13"/>
        <v>0</v>
      </c>
      <c r="I132" s="179"/>
      <c r="J132" s="131" t="str">
        <f>B132</f>
        <v>220V供电线路</v>
      </c>
      <c r="K132" s="131">
        <f ca="1">G132+G145+G157</f>
        <v>1870</v>
      </c>
      <c r="L132" s="131">
        <f ca="1">H132+H145+H157</f>
        <v>0</v>
      </c>
    </row>
    <row r="133" s="123" customFormat="1" ht="16.5" customHeight="1" spans="1:12">
      <c r="A133" s="157">
        <f>工程量计算稿!A161</f>
        <v>5</v>
      </c>
      <c r="B133" s="114" t="str">
        <f>工程量计算稿!B161</f>
        <v>380V供电线路</v>
      </c>
      <c r="C133" s="158" t="str">
        <f>工程量计算稿!C161</f>
        <v>m</v>
      </c>
      <c r="D133" s="159">
        <f>结算审核明细表!D172</f>
        <v>300</v>
      </c>
      <c r="E133" s="160">
        <f>结算审核明细表!I172</f>
        <v>300</v>
      </c>
      <c r="F133" s="161">
        <f ca="1">工程量计算稿!E161</f>
        <v>300</v>
      </c>
      <c r="G133" s="162">
        <f ca="1" t="shared" si="12"/>
        <v>0</v>
      </c>
      <c r="H133" s="162">
        <f ca="1" t="shared" si="13"/>
        <v>0</v>
      </c>
      <c r="I133" s="179"/>
      <c r="J133" s="131"/>
      <c r="K133" s="131"/>
      <c r="L133" s="131"/>
    </row>
    <row r="134" s="123" customFormat="1" ht="16.5" customHeight="1" spans="1:12">
      <c r="A134" s="157">
        <f>工程量计算稿!A162</f>
        <v>6</v>
      </c>
      <c r="B134" s="114" t="str">
        <f>工程量计算稿!B162</f>
        <v>电杆架设</v>
      </c>
      <c r="C134" s="158" t="str">
        <f>工程量计算稿!C162</f>
        <v>根</v>
      </c>
      <c r="D134" s="159">
        <f>结算审核明细表!D173</f>
        <v>7</v>
      </c>
      <c r="E134" s="160">
        <f>结算审核明细表!I173</f>
        <v>8</v>
      </c>
      <c r="F134" s="161">
        <f ca="1">工程量计算稿!E162</f>
        <v>2</v>
      </c>
      <c r="G134" s="162">
        <f ca="1" t="shared" si="12"/>
        <v>-5</v>
      </c>
      <c r="H134" s="162">
        <f ca="1" t="shared" si="13"/>
        <v>-6</v>
      </c>
      <c r="I134" s="179"/>
      <c r="J134" s="131" t="s">
        <v>95</v>
      </c>
      <c r="K134" s="131">
        <f ca="1">G134+G146</f>
        <v>3</v>
      </c>
      <c r="L134" s="131">
        <f ca="1">H134+H146</f>
        <v>-1</v>
      </c>
    </row>
    <row r="135" s="123" customFormat="1" ht="16.5" customHeight="1" spans="1:12">
      <c r="A135" s="150" t="str">
        <f>工程量计算稿!A163</f>
        <v>二 </v>
      </c>
      <c r="B135" s="151" t="str">
        <f>工程量计算稿!B163</f>
        <v>输水工程</v>
      </c>
      <c r="C135" s="152"/>
      <c r="D135" s="153"/>
      <c r="E135" s="154"/>
      <c r="F135" s="155"/>
      <c r="G135" s="156"/>
      <c r="H135" s="156"/>
      <c r="I135" s="178"/>
      <c r="J135" s="131"/>
      <c r="K135" s="131"/>
      <c r="L135" s="131"/>
    </row>
    <row r="136" s="123" customFormat="1" ht="22.5" spans="1:12">
      <c r="A136" s="157">
        <f>工程量计算稿!A164</f>
        <v>1</v>
      </c>
      <c r="B136" s="114" t="str">
        <f>工程量计算稿!B164</f>
        <v>DN50热镀锌钢管壁厚3.5</v>
      </c>
      <c r="C136" s="158" t="str">
        <f>工程量计算稿!C164</f>
        <v>m</v>
      </c>
      <c r="D136" s="159">
        <f>结算审核明细表!D175</f>
        <v>3000</v>
      </c>
      <c r="E136" s="160">
        <f>结算审核明细表!I175</f>
        <v>3800</v>
      </c>
      <c r="F136" s="161">
        <f ca="1">工程量计算稿!E164</f>
        <v>3000</v>
      </c>
      <c r="G136" s="162">
        <f ca="1">F136-D136</f>
        <v>0</v>
      </c>
      <c r="H136" s="162">
        <f ca="1">F136-E136</f>
        <v>-800</v>
      </c>
      <c r="I136" s="179" t="s">
        <v>96</v>
      </c>
      <c r="J136" s="131" t="s">
        <v>97</v>
      </c>
      <c r="K136" s="131">
        <f ca="1">G136</f>
        <v>0</v>
      </c>
      <c r="L136" s="131">
        <f ca="1">H136</f>
        <v>-800</v>
      </c>
    </row>
    <row r="137" s="123" customFormat="1" ht="16.5" customHeight="1" spans="1:12">
      <c r="A137" s="157">
        <f>工程量计算稿!A165</f>
        <v>2</v>
      </c>
      <c r="B137" s="114" t="str">
        <f>工程量计算稿!B165</f>
        <v>下村主管高压闸阀、高压水表</v>
      </c>
      <c r="C137" s="158" t="str">
        <f>工程量计算稿!C165</f>
        <v>套</v>
      </c>
      <c r="D137" s="159">
        <f>结算审核明细表!D176</f>
        <v>1</v>
      </c>
      <c r="E137" s="160">
        <f>结算审核明细表!I176</f>
        <v>3</v>
      </c>
      <c r="F137" s="161">
        <f ca="1">工程量计算稿!E165</f>
        <v>3</v>
      </c>
      <c r="G137" s="162">
        <f ca="1">F137-D137</f>
        <v>2</v>
      </c>
      <c r="H137" s="162">
        <f ca="1">F137-E137</f>
        <v>0</v>
      </c>
      <c r="I137" s="179"/>
      <c r="J137" s="131" t="str">
        <f>B137</f>
        <v>下村主管高压闸阀、高压水表</v>
      </c>
      <c r="K137" s="131">
        <f ca="1">G137</f>
        <v>2</v>
      </c>
      <c r="L137" s="131">
        <f ca="1">H137</f>
        <v>0</v>
      </c>
    </row>
    <row r="138" s="123" customFormat="1" ht="16.5" customHeight="1" spans="1:12">
      <c r="A138" s="157">
        <f>工程量计算稿!A166</f>
        <v>3</v>
      </c>
      <c r="B138" s="114" t="str">
        <f>工程量计算稿!B166</f>
        <v>减压阀</v>
      </c>
      <c r="C138" s="158" t="str">
        <f>工程量计算稿!C166</f>
        <v>个</v>
      </c>
      <c r="D138" s="159">
        <f>结算审核明细表!D177</f>
        <v>1</v>
      </c>
      <c r="E138" s="160">
        <f>结算审核明细表!I177</f>
        <v>3</v>
      </c>
      <c r="F138" s="161">
        <f ca="1">工程量计算稿!E166</f>
        <v>3</v>
      </c>
      <c r="G138" s="162">
        <f ca="1">F138-D138</f>
        <v>2</v>
      </c>
      <c r="H138" s="162">
        <f ca="1">F138-E138</f>
        <v>0</v>
      </c>
      <c r="I138" s="176"/>
      <c r="J138" s="131" t="str">
        <f>B138</f>
        <v>减压阀</v>
      </c>
      <c r="K138" s="131">
        <f ca="1">G138</f>
        <v>2</v>
      </c>
      <c r="L138" s="131">
        <f ca="1">H138</f>
        <v>0</v>
      </c>
    </row>
    <row r="139" s="123" customFormat="1" ht="16.5" customHeight="1" spans="1:12">
      <c r="A139" s="157" t="str">
        <f>工程量计算稿!A167</f>
        <v>增</v>
      </c>
      <c r="B139" s="114" t="str">
        <f>工程量计算稿!B167</f>
        <v>自吸泵（潜水泵）</v>
      </c>
      <c r="C139" s="158" t="str">
        <f>工程量计算稿!C167</f>
        <v>台</v>
      </c>
      <c r="D139" s="159">
        <f>结算审核明细表!D178</f>
        <v>0</v>
      </c>
      <c r="E139" s="160">
        <f>结算审核明细表!I178</f>
        <v>1</v>
      </c>
      <c r="F139" s="161">
        <f ca="1">工程量计算稿!E167</f>
        <v>1</v>
      </c>
      <c r="G139" s="162">
        <f ca="1">F139-D139</f>
        <v>1</v>
      </c>
      <c r="H139" s="162">
        <f ca="1">F139-E139</f>
        <v>0</v>
      </c>
      <c r="I139" s="176"/>
      <c r="J139" s="131" t="str">
        <f>B139</f>
        <v>自吸泵（潜水泵）</v>
      </c>
      <c r="K139" s="131">
        <f ca="1">G139</f>
        <v>1</v>
      </c>
      <c r="L139" s="131">
        <f ca="1">H139</f>
        <v>0</v>
      </c>
    </row>
    <row r="140" s="123" customFormat="1" ht="16.5" customHeight="1" spans="1:12">
      <c r="A140" s="150" t="str">
        <f>工程量计算稿!A168</f>
        <v>三</v>
      </c>
      <c r="B140" s="151" t="str">
        <f>工程量计算稿!B168</f>
        <v>净水工程</v>
      </c>
      <c r="C140" s="152"/>
      <c r="D140" s="153"/>
      <c r="E140" s="154"/>
      <c r="F140" s="155"/>
      <c r="G140" s="156"/>
      <c r="H140" s="156"/>
      <c r="I140" s="178"/>
      <c r="J140" s="131"/>
      <c r="K140" s="131"/>
      <c r="L140" s="131"/>
    </row>
    <row r="141" s="123" customFormat="1" ht="16.5" customHeight="1" spans="1:12">
      <c r="A141" s="157">
        <f>工程量计算稿!A169</f>
        <v>1</v>
      </c>
      <c r="B141" s="114" t="str">
        <f>工程量计算稿!B169</f>
        <v>浮球阀</v>
      </c>
      <c r="C141" s="158" t="str">
        <f>工程量计算稿!C169</f>
        <v>个</v>
      </c>
      <c r="D141" s="159">
        <f>结算审核明细表!D180</f>
        <v>1</v>
      </c>
      <c r="E141" s="160">
        <f>结算审核明细表!I180</f>
        <v>1</v>
      </c>
      <c r="F141" s="161">
        <f ca="1">工程量计算稿!E169</f>
        <v>1</v>
      </c>
      <c r="G141" s="162">
        <f ca="1" t="shared" ref="G141:G146" si="16">F141-D141</f>
        <v>0</v>
      </c>
      <c r="H141" s="162">
        <f ca="1" t="shared" ref="H141:H146" si="17">F141-E141</f>
        <v>0</v>
      </c>
      <c r="I141" s="179"/>
      <c r="J141" s="131"/>
      <c r="K141" s="131"/>
      <c r="L141" s="131"/>
    </row>
    <row r="142" s="123" customFormat="1" ht="16.5" customHeight="1" spans="1:12">
      <c r="A142" s="157">
        <f>工程量计算稿!A170</f>
        <v>2</v>
      </c>
      <c r="B142" s="114" t="str">
        <f>工程量计算稿!B170</f>
        <v>紫外线杀毒灯</v>
      </c>
      <c r="C142" s="158" t="str">
        <f>工程量计算稿!C170</f>
        <v>个</v>
      </c>
      <c r="D142" s="159">
        <f>结算审核明细表!D181</f>
        <v>2</v>
      </c>
      <c r="E142" s="160">
        <f>结算审核明细表!I181</f>
        <v>2</v>
      </c>
      <c r="F142" s="161">
        <f ca="1">工程量计算稿!E170</f>
        <v>2</v>
      </c>
      <c r="G142" s="162">
        <f ca="1" t="shared" si="16"/>
        <v>0</v>
      </c>
      <c r="H142" s="162">
        <f ca="1" t="shared" si="17"/>
        <v>0</v>
      </c>
      <c r="I142" s="179"/>
      <c r="J142" s="131"/>
      <c r="K142" s="131"/>
      <c r="L142" s="131"/>
    </row>
    <row r="143" s="123" customFormat="1" ht="16.5" customHeight="1" spans="1:12">
      <c r="A143" s="157">
        <f>工程量计算稿!A171</f>
        <v>3</v>
      </c>
      <c r="B143" s="114" t="str">
        <f>工程量计算稿!B171</f>
        <v>电表</v>
      </c>
      <c r="C143" s="158" t="str">
        <f>工程量计算稿!C171</f>
        <v>支</v>
      </c>
      <c r="D143" s="159">
        <f>结算审核明细表!D182</f>
        <v>2</v>
      </c>
      <c r="E143" s="160">
        <f>结算审核明细表!I182</f>
        <v>2</v>
      </c>
      <c r="F143" s="161">
        <f ca="1">工程量计算稿!E171</f>
        <v>2</v>
      </c>
      <c r="G143" s="162">
        <f ca="1" t="shared" si="16"/>
        <v>0</v>
      </c>
      <c r="H143" s="162">
        <f ca="1" t="shared" si="17"/>
        <v>0</v>
      </c>
      <c r="I143" s="176"/>
      <c r="J143" s="131"/>
      <c r="K143" s="131"/>
      <c r="L143" s="131"/>
    </row>
    <row r="144" s="123" customFormat="1" ht="16.5" customHeight="1" spans="1:12">
      <c r="A144" s="157">
        <f>工程量计算稿!A172</f>
        <v>4</v>
      </c>
      <c r="B144" s="114" t="str">
        <f>工程量计算稿!B172</f>
        <v>水表</v>
      </c>
      <c r="C144" s="158" t="str">
        <f>工程量计算稿!C172</f>
        <v>支</v>
      </c>
      <c r="D144" s="159">
        <f>结算审核明细表!D183</f>
        <v>2</v>
      </c>
      <c r="E144" s="160">
        <f>结算审核明细表!I183</f>
        <v>2</v>
      </c>
      <c r="F144" s="161">
        <f ca="1">工程量计算稿!E172</f>
        <v>2</v>
      </c>
      <c r="G144" s="162">
        <f ca="1" t="shared" si="16"/>
        <v>0</v>
      </c>
      <c r="H144" s="162">
        <f ca="1" t="shared" si="17"/>
        <v>0</v>
      </c>
      <c r="I144" s="179"/>
      <c r="J144" s="131"/>
      <c r="K144" s="131"/>
      <c r="L144" s="131"/>
    </row>
    <row r="145" s="123" customFormat="1" ht="16.5" customHeight="1" spans="1:12">
      <c r="A145" s="157">
        <f>工程量计算稿!A173</f>
        <v>5</v>
      </c>
      <c r="B145" s="114" t="str">
        <f>工程量计算稿!B173</f>
        <v>220V供电线路</v>
      </c>
      <c r="C145" s="158" t="str">
        <f>工程量计算稿!C173</f>
        <v>m</v>
      </c>
      <c r="D145" s="159">
        <f>结算审核明细表!D184</f>
        <v>200</v>
      </c>
      <c r="E145" s="160">
        <f>结算审核明细表!I184</f>
        <v>2060</v>
      </c>
      <c r="F145" s="161">
        <f ca="1">工程量计算稿!E173</f>
        <v>2060</v>
      </c>
      <c r="G145" s="162">
        <f ca="1" t="shared" si="16"/>
        <v>1860</v>
      </c>
      <c r="H145" s="162">
        <f ca="1" t="shared" si="17"/>
        <v>0</v>
      </c>
      <c r="I145" s="176"/>
      <c r="J145" s="131"/>
      <c r="K145" s="131"/>
      <c r="L145" s="131"/>
    </row>
    <row r="146" s="123" customFormat="1" ht="16.5" customHeight="1" spans="1:12">
      <c r="A146" s="157">
        <f>工程量计算稿!A174</f>
        <v>6</v>
      </c>
      <c r="B146" s="114" t="str">
        <f>工程量计算稿!B174</f>
        <v>电杆架设</v>
      </c>
      <c r="C146" s="158" t="str">
        <f>工程量计算稿!C174</f>
        <v>根</v>
      </c>
      <c r="D146" s="159">
        <f>结算审核明细表!D185</f>
        <v>2</v>
      </c>
      <c r="E146" s="160">
        <f>结算审核明细表!I185</f>
        <v>5</v>
      </c>
      <c r="F146" s="161">
        <f ca="1">工程量计算稿!E174</f>
        <v>10</v>
      </c>
      <c r="G146" s="162">
        <f ca="1" t="shared" si="16"/>
        <v>8</v>
      </c>
      <c r="H146" s="162">
        <f ca="1" t="shared" si="17"/>
        <v>5</v>
      </c>
      <c r="I146" s="179"/>
      <c r="J146" s="131"/>
      <c r="K146" s="131"/>
      <c r="L146" s="131"/>
    </row>
    <row r="147" s="123" customFormat="1" ht="16.5" customHeight="1" spans="1:12">
      <c r="A147" s="150" t="str">
        <f>工程量计算稿!A175</f>
        <v>四</v>
      </c>
      <c r="B147" s="151" t="str">
        <f>工程量计算稿!B175</f>
        <v>配水工程</v>
      </c>
      <c r="C147" s="152"/>
      <c r="D147" s="153"/>
      <c r="E147" s="154"/>
      <c r="F147" s="155"/>
      <c r="G147" s="156"/>
      <c r="H147" s="156"/>
      <c r="I147" s="178"/>
      <c r="J147" s="131"/>
      <c r="K147" s="131"/>
      <c r="L147" s="131"/>
    </row>
    <row r="148" s="123" customFormat="1" ht="16.5" customHeight="1" spans="1:12">
      <c r="A148" s="157">
        <f>工程量计算稿!A176</f>
        <v>1</v>
      </c>
      <c r="B148" s="114" t="str">
        <f>工程量计算稿!B176</f>
        <v>dn63（1.6MPa壁厚5.8）PE管</v>
      </c>
      <c r="C148" s="158" t="str">
        <f>工程量计算稿!C176</f>
        <v>m</v>
      </c>
      <c r="D148" s="159">
        <f>结算审核明细表!D187</f>
        <v>2000</v>
      </c>
      <c r="E148" s="160">
        <f>结算审核明细表!I187</f>
        <v>996</v>
      </c>
      <c r="F148" s="161">
        <f ca="1">工程量计算稿!E176</f>
        <v>996</v>
      </c>
      <c r="G148" s="162">
        <f ca="1" t="shared" ref="G148:G154" si="18">F148-D148</f>
        <v>-1004</v>
      </c>
      <c r="H148" s="162">
        <f ca="1" t="shared" ref="H148:H154" si="19">F148-E148</f>
        <v>0</v>
      </c>
      <c r="I148" s="179"/>
      <c r="J148" s="131"/>
      <c r="K148" s="131"/>
      <c r="L148" s="131"/>
    </row>
    <row r="149" s="123" customFormat="1" ht="16.5" customHeight="1" spans="1:12">
      <c r="A149" s="157">
        <f>工程量计算稿!A177</f>
        <v>2</v>
      </c>
      <c r="B149" s="114" t="str">
        <f>工程量计算稿!B177</f>
        <v>dn50（1.6MPa壁厚4.6）PE管</v>
      </c>
      <c r="C149" s="158" t="str">
        <f>工程量计算稿!C177</f>
        <v>m</v>
      </c>
      <c r="D149" s="159">
        <f>结算审核明细表!D188</f>
        <v>6000</v>
      </c>
      <c r="E149" s="160">
        <f>结算审核明细表!I188</f>
        <v>3000</v>
      </c>
      <c r="F149" s="161">
        <f ca="1">工程量计算稿!E177</f>
        <v>3000</v>
      </c>
      <c r="G149" s="162">
        <f ca="1" t="shared" si="18"/>
        <v>-3000</v>
      </c>
      <c r="H149" s="162">
        <f ca="1" t="shared" si="19"/>
        <v>0</v>
      </c>
      <c r="I149" s="179"/>
      <c r="J149" s="131"/>
      <c r="K149" s="131"/>
      <c r="L149" s="131"/>
    </row>
    <row r="150" s="123" customFormat="1" ht="16.5" customHeight="1" spans="1:12">
      <c r="A150" s="157">
        <f>工程量计算稿!A178</f>
        <v>3</v>
      </c>
      <c r="B150" s="114" t="str">
        <f>工程量计算稿!B178</f>
        <v>dn40（1.6MPa壁厚3.7）PE管</v>
      </c>
      <c r="C150" s="158" t="str">
        <f>工程量计算稿!C178</f>
        <v>m</v>
      </c>
      <c r="D150" s="159">
        <f>结算审核明细表!D189</f>
        <v>6000</v>
      </c>
      <c r="E150" s="160">
        <f>结算审核明细表!I189</f>
        <v>3000</v>
      </c>
      <c r="F150" s="161">
        <f ca="1">工程量计算稿!E178</f>
        <v>3000</v>
      </c>
      <c r="G150" s="162">
        <f ca="1" t="shared" si="18"/>
        <v>-3000</v>
      </c>
      <c r="H150" s="162">
        <f ca="1" t="shared" si="19"/>
        <v>0</v>
      </c>
      <c r="I150" s="179"/>
      <c r="J150" s="131"/>
      <c r="K150" s="131"/>
      <c r="L150" s="131"/>
    </row>
    <row r="151" s="123" customFormat="1" ht="16.5" customHeight="1" spans="1:12">
      <c r="A151" s="157">
        <f>工程量计算稿!A179</f>
        <v>4</v>
      </c>
      <c r="B151" s="114" t="str">
        <f>工程量计算稿!B179</f>
        <v>dn32（1.6MPa壁厚3.0）PE管</v>
      </c>
      <c r="C151" s="158" t="str">
        <f>工程量计算稿!C179</f>
        <v>m</v>
      </c>
      <c r="D151" s="159">
        <f>结算审核明细表!D190</f>
        <v>5000</v>
      </c>
      <c r="E151" s="160">
        <f>结算审核明细表!I190</f>
        <v>3400</v>
      </c>
      <c r="F151" s="161">
        <f ca="1">工程量计算稿!E179</f>
        <v>3400</v>
      </c>
      <c r="G151" s="162">
        <f ca="1" t="shared" si="18"/>
        <v>-1600</v>
      </c>
      <c r="H151" s="162">
        <f ca="1" t="shared" si="19"/>
        <v>0</v>
      </c>
      <c r="I151" s="179"/>
      <c r="J151" s="131"/>
      <c r="K151" s="131"/>
      <c r="L151" s="131"/>
    </row>
    <row r="152" s="123" customFormat="1" ht="16.5" customHeight="1" spans="1:12">
      <c r="A152" s="157">
        <f>工程量计算稿!A180</f>
        <v>5</v>
      </c>
      <c r="B152" s="114" t="str">
        <f>工程量计算稿!B180</f>
        <v>dn25（1.6MPa壁厚2.3）PE管</v>
      </c>
      <c r="C152" s="158" t="str">
        <f>工程量计算稿!C180</f>
        <v>m</v>
      </c>
      <c r="D152" s="159">
        <f>结算审核明细表!D191</f>
        <v>3000</v>
      </c>
      <c r="E152" s="160">
        <f>结算审核明细表!I191</f>
        <v>3000</v>
      </c>
      <c r="F152" s="161">
        <f ca="1">工程量计算稿!E180</f>
        <v>3000</v>
      </c>
      <c r="G152" s="162">
        <f ca="1" t="shared" si="18"/>
        <v>0</v>
      </c>
      <c r="H152" s="162">
        <f ca="1" t="shared" si="19"/>
        <v>0</v>
      </c>
      <c r="I152" s="179"/>
      <c r="J152" s="131"/>
      <c r="K152" s="131"/>
      <c r="L152" s="131"/>
    </row>
    <row r="153" s="123" customFormat="1" ht="16.5" customHeight="1" spans="1:12">
      <c r="A153" s="157">
        <f>工程量计算稿!A181</f>
        <v>6</v>
      </c>
      <c r="B153" s="114" t="str">
        <f>工程量计算稿!B181</f>
        <v>dn20（1.6MPa壁厚2.3）PE管</v>
      </c>
      <c r="C153" s="158" t="str">
        <f>工程量计算稿!C181</f>
        <v>m</v>
      </c>
      <c r="D153" s="159">
        <f>结算审核明细表!D192</f>
        <v>19250</v>
      </c>
      <c r="E153" s="160">
        <f>结算审核明细表!I192</f>
        <v>12500</v>
      </c>
      <c r="F153" s="161">
        <f ca="1">工程量计算稿!E181</f>
        <v>12500</v>
      </c>
      <c r="G153" s="162">
        <f ca="1" t="shared" si="18"/>
        <v>-6750</v>
      </c>
      <c r="H153" s="162">
        <f ca="1" t="shared" si="19"/>
        <v>0</v>
      </c>
      <c r="I153" s="179"/>
      <c r="J153" s="131"/>
      <c r="K153" s="131"/>
      <c r="L153" s="131"/>
    </row>
    <row r="154" s="123" customFormat="1" ht="16.5" customHeight="1" spans="1:12">
      <c r="A154" s="157">
        <f>工程量计算稿!A182</f>
        <v>7</v>
      </c>
      <c r="B154" s="114" t="str">
        <f>工程量计算稿!B182</f>
        <v>各类管件</v>
      </c>
      <c r="C154" s="158" t="str">
        <f>工程量计算稿!C182</f>
        <v>元</v>
      </c>
      <c r="D154" s="159">
        <f>结算审核明细表!G193</f>
        <v>27056.14</v>
      </c>
      <c r="E154" s="160">
        <f>结算审核明细表!L193</f>
        <v>15411.72</v>
      </c>
      <c r="F154" s="161">
        <f ca="1">工程量计算稿!E182</f>
        <v>15411.72</v>
      </c>
      <c r="G154" s="162">
        <f ca="1" t="shared" si="18"/>
        <v>-11644.42</v>
      </c>
      <c r="H154" s="162">
        <f ca="1" t="shared" si="19"/>
        <v>0</v>
      </c>
      <c r="I154" s="176"/>
      <c r="J154" s="131"/>
      <c r="K154" s="131"/>
      <c r="L154" s="131"/>
    </row>
    <row r="155" s="123" customFormat="1" ht="16.5" customHeight="1" spans="1:12">
      <c r="A155" s="150" t="str">
        <f>工程量计算稿!A183</f>
        <v>五</v>
      </c>
      <c r="B155" s="151" t="str">
        <f>工程量计算稿!B183</f>
        <v>四社增加工程</v>
      </c>
      <c r="C155" s="152"/>
      <c r="D155" s="153"/>
      <c r="E155" s="154"/>
      <c r="F155" s="155"/>
      <c r="G155" s="156"/>
      <c r="H155" s="156"/>
      <c r="I155" s="178"/>
      <c r="J155" s="185"/>
      <c r="K155" s="131"/>
      <c r="L155" s="131"/>
    </row>
    <row r="156" s="123" customFormat="1" ht="16.5" customHeight="1" spans="1:12">
      <c r="A156" s="157">
        <f>工程量计算稿!A184</f>
        <v>1</v>
      </c>
      <c r="B156" s="114" t="str">
        <f>工程量计算稿!B184</f>
        <v>7m3不锈钢桶</v>
      </c>
      <c r="C156" s="158" t="str">
        <f>工程量计算稿!C184</f>
        <v>只</v>
      </c>
      <c r="D156" s="159">
        <f>结算审核明细表!D195</f>
        <v>0</v>
      </c>
      <c r="E156" s="160">
        <f>结算审核明细表!I195</f>
        <v>1</v>
      </c>
      <c r="F156" s="161">
        <f ca="1">工程量计算稿!E184</f>
        <v>1</v>
      </c>
      <c r="G156" s="162">
        <f ca="1">F156-D156</f>
        <v>1</v>
      </c>
      <c r="H156" s="162">
        <f ca="1">F156-E156</f>
        <v>0</v>
      </c>
      <c r="I156" s="179"/>
      <c r="J156" s="131" t="str">
        <f t="shared" ref="J156:J159" si="20">B156</f>
        <v>7m3不锈钢桶</v>
      </c>
      <c r="K156" s="131">
        <f ca="1" t="shared" ref="K156:K159" si="21">G156</f>
        <v>1</v>
      </c>
      <c r="L156" s="131">
        <f ca="1" t="shared" ref="L156:L159" si="22">H156</f>
        <v>0</v>
      </c>
    </row>
    <row r="157" s="123" customFormat="1" ht="16.5" customHeight="1" spans="1:12">
      <c r="A157" s="157">
        <f>工程量计算稿!A185</f>
        <v>2</v>
      </c>
      <c r="B157" s="114" t="str">
        <f>工程量计算稿!B185</f>
        <v>220V供电线路</v>
      </c>
      <c r="C157" s="158" t="str">
        <f>工程量计算稿!C185</f>
        <v>m</v>
      </c>
      <c r="D157" s="159">
        <f>结算审核明细表!D196</f>
        <v>0</v>
      </c>
      <c r="E157" s="160">
        <f>结算审核明细表!I196</f>
        <v>200</v>
      </c>
      <c r="F157" s="161">
        <f ca="1">工程量计算稿!E185</f>
        <v>200</v>
      </c>
      <c r="G157" s="162">
        <f ca="1">F157-D157</f>
        <v>200</v>
      </c>
      <c r="H157" s="162">
        <f ca="1">F157-E157</f>
        <v>0</v>
      </c>
      <c r="I157" s="179"/>
      <c r="J157" s="131"/>
      <c r="K157" s="131"/>
      <c r="L157" s="131"/>
    </row>
    <row r="158" s="123" customFormat="1" ht="16.5" customHeight="1" spans="1:12">
      <c r="A158" s="157">
        <f>工程量计算稿!A186</f>
        <v>3</v>
      </c>
      <c r="B158" s="114" t="str">
        <f>工程量计算稿!B186</f>
        <v>增压泵</v>
      </c>
      <c r="C158" s="158" t="str">
        <f>工程量计算稿!C186</f>
        <v>台</v>
      </c>
      <c r="D158" s="159">
        <f>结算审核明细表!D197</f>
        <v>0</v>
      </c>
      <c r="E158" s="160">
        <f>结算审核明细表!I197</f>
        <v>1</v>
      </c>
      <c r="F158" s="161">
        <f ca="1">工程量计算稿!E186</f>
        <v>1</v>
      </c>
      <c r="G158" s="162">
        <f ca="1">F158-D158</f>
        <v>1</v>
      </c>
      <c r="H158" s="162">
        <f ca="1">F158-E158</f>
        <v>0</v>
      </c>
      <c r="I158" s="179"/>
      <c r="J158" s="131" t="str">
        <f t="shared" si="20"/>
        <v>增压泵</v>
      </c>
      <c r="K158" s="131">
        <f ca="1" t="shared" si="21"/>
        <v>1</v>
      </c>
      <c r="L158" s="131">
        <f ca="1" t="shared" si="22"/>
        <v>0</v>
      </c>
    </row>
    <row r="159" s="123" customFormat="1" ht="16.5" customHeight="1" spans="1:12">
      <c r="A159" s="157">
        <f>工程量计算稿!A187</f>
        <v>4</v>
      </c>
      <c r="B159" s="114" t="str">
        <f>工程量计算稿!B187</f>
        <v>水表</v>
      </c>
      <c r="C159" s="158" t="str">
        <f>工程量计算稿!C187</f>
        <v>只</v>
      </c>
      <c r="D159" s="159">
        <f>结算审核明细表!D198</f>
        <v>0</v>
      </c>
      <c r="E159" s="160">
        <f>结算审核明细表!I198</f>
        <v>1</v>
      </c>
      <c r="F159" s="161">
        <f ca="1">工程量计算稿!E187</f>
        <v>1</v>
      </c>
      <c r="G159" s="162">
        <f ca="1">F159-D159</f>
        <v>1</v>
      </c>
      <c r="H159" s="162">
        <f ca="1">F159-E159</f>
        <v>0</v>
      </c>
      <c r="I159" s="179"/>
      <c r="J159" s="131" t="str">
        <f t="shared" si="20"/>
        <v>水表</v>
      </c>
      <c r="K159" s="131">
        <f ca="1" t="shared" si="21"/>
        <v>1</v>
      </c>
      <c r="L159" s="131">
        <f ca="1" t="shared" si="22"/>
        <v>0</v>
      </c>
    </row>
    <row r="160" s="123" customFormat="1" spans="1:12">
      <c r="A160" s="122"/>
      <c r="B160" s="125"/>
      <c r="C160" s="122"/>
      <c r="D160" s="126"/>
      <c r="E160" s="127"/>
      <c r="F160" s="128"/>
      <c r="G160" s="129"/>
      <c r="H160" s="129"/>
      <c r="I160" s="130"/>
      <c r="J160" s="131"/>
      <c r="K160" s="131"/>
      <c r="L160" s="131"/>
    </row>
    <row r="161" s="123" customFormat="1" spans="1:12">
      <c r="A161" s="122"/>
      <c r="B161" s="125"/>
      <c r="C161" s="122"/>
      <c r="D161" s="126"/>
      <c r="E161" s="127"/>
      <c r="F161" s="128"/>
      <c r="G161" s="129"/>
      <c r="H161" s="129"/>
      <c r="I161" s="130"/>
      <c r="J161" s="131"/>
      <c r="K161" s="131"/>
      <c r="L161" s="131"/>
    </row>
    <row r="162" s="123" customFormat="1" spans="1:12">
      <c r="A162" s="122"/>
      <c r="B162" s="125"/>
      <c r="C162" s="122"/>
      <c r="D162" s="126"/>
      <c r="E162" s="127"/>
      <c r="F162" s="128"/>
      <c r="G162" s="129"/>
      <c r="H162" s="129"/>
      <c r="I162" s="130"/>
      <c r="J162" s="131"/>
      <c r="K162" s="131"/>
      <c r="L162" s="131"/>
    </row>
    <row r="163" s="123" customFormat="1" spans="1:12">
      <c r="A163" s="122"/>
      <c r="B163" s="125"/>
      <c r="C163" s="122"/>
      <c r="D163" s="126"/>
      <c r="E163" s="127"/>
      <c r="F163" s="128"/>
      <c r="G163" s="129"/>
      <c r="H163" s="129"/>
      <c r="I163" s="130"/>
      <c r="J163" s="131"/>
      <c r="K163" s="131"/>
      <c r="L163" s="131"/>
    </row>
    <row r="164" s="123" customFormat="1" spans="1:12">
      <c r="A164" s="122"/>
      <c r="B164" s="125"/>
      <c r="C164" s="122"/>
      <c r="D164" s="126"/>
      <c r="E164" s="127"/>
      <c r="F164" s="128"/>
      <c r="G164" s="129"/>
      <c r="H164" s="129"/>
      <c r="I164" s="130"/>
      <c r="J164" s="131"/>
      <c r="K164" s="131"/>
      <c r="L164" s="131"/>
    </row>
    <row r="165" s="123" customFormat="1" spans="1:12">
      <c r="A165" s="122"/>
      <c r="B165" s="125"/>
      <c r="C165" s="122"/>
      <c r="D165" s="126"/>
      <c r="E165" s="127"/>
      <c r="F165" s="128"/>
      <c r="G165" s="129"/>
      <c r="H165" s="129"/>
      <c r="I165" s="130"/>
      <c r="J165" s="131"/>
      <c r="K165" s="131"/>
      <c r="L165" s="131"/>
    </row>
    <row r="166" s="123" customFormat="1" spans="1:12">
      <c r="A166" s="122"/>
      <c r="B166" s="125"/>
      <c r="C166" s="122"/>
      <c r="D166" s="126"/>
      <c r="E166" s="127"/>
      <c r="F166" s="128"/>
      <c r="G166" s="129"/>
      <c r="H166" s="129"/>
      <c r="I166" s="130"/>
      <c r="J166" s="131"/>
      <c r="K166" s="131"/>
      <c r="L166" s="131"/>
    </row>
    <row r="167" s="123" customFormat="1" spans="1:12">
      <c r="A167" s="122"/>
      <c r="B167" s="125"/>
      <c r="C167" s="122"/>
      <c r="D167" s="126"/>
      <c r="E167" s="127"/>
      <c r="F167" s="128"/>
      <c r="G167" s="129"/>
      <c r="H167" s="129"/>
      <c r="I167" s="130"/>
      <c r="J167" s="131"/>
      <c r="K167" s="131"/>
      <c r="L167" s="131"/>
    </row>
    <row r="168" s="123" customFormat="1" spans="1:12">
      <c r="A168" s="122"/>
      <c r="B168" s="125"/>
      <c r="C168" s="122"/>
      <c r="D168" s="126"/>
      <c r="E168" s="127"/>
      <c r="F168" s="128"/>
      <c r="G168" s="129"/>
      <c r="H168" s="129"/>
      <c r="I168" s="130"/>
      <c r="J168" s="131"/>
      <c r="K168" s="131"/>
      <c r="L168" s="131"/>
    </row>
    <row r="169" s="123" customFormat="1" spans="1:12">
      <c r="A169" s="122"/>
      <c r="B169" s="125"/>
      <c r="C169" s="122"/>
      <c r="D169" s="126"/>
      <c r="E169" s="127"/>
      <c r="F169" s="128"/>
      <c r="G169" s="129"/>
      <c r="H169" s="129"/>
      <c r="I169" s="130"/>
      <c r="J169" s="131"/>
      <c r="K169" s="131"/>
      <c r="L169" s="131"/>
    </row>
    <row r="170" s="123" customFormat="1" spans="1:12">
      <c r="A170" s="122"/>
      <c r="B170" s="125"/>
      <c r="C170" s="122"/>
      <c r="D170" s="126"/>
      <c r="E170" s="127"/>
      <c r="F170" s="128"/>
      <c r="G170" s="129"/>
      <c r="H170" s="129"/>
      <c r="I170" s="130"/>
      <c r="J170" s="131"/>
      <c r="K170" s="131"/>
      <c r="L170" s="131"/>
    </row>
    <row r="171" s="123" customFormat="1" spans="1:12">
      <c r="A171" s="122"/>
      <c r="B171" s="125"/>
      <c r="C171" s="122"/>
      <c r="D171" s="126"/>
      <c r="E171" s="127"/>
      <c r="F171" s="128"/>
      <c r="G171" s="129"/>
      <c r="H171" s="129"/>
      <c r="I171" s="130"/>
      <c r="J171" s="131"/>
      <c r="K171" s="131"/>
      <c r="L171" s="131"/>
    </row>
    <row r="172" s="123" customFormat="1" spans="1:12">
      <c r="A172" s="122"/>
      <c r="B172" s="125"/>
      <c r="C172" s="122"/>
      <c r="D172" s="126"/>
      <c r="E172" s="127"/>
      <c r="F172" s="128"/>
      <c r="G172" s="129"/>
      <c r="H172" s="129"/>
      <c r="I172" s="130"/>
      <c r="J172" s="131"/>
      <c r="K172" s="131"/>
      <c r="L172" s="131"/>
    </row>
    <row r="173" s="123" customFormat="1" spans="1:12">
      <c r="A173" s="122"/>
      <c r="B173" s="125"/>
      <c r="C173" s="122"/>
      <c r="D173" s="126"/>
      <c r="E173" s="127"/>
      <c r="F173" s="128"/>
      <c r="G173" s="129"/>
      <c r="H173" s="129"/>
      <c r="I173" s="130"/>
      <c r="J173" s="131"/>
      <c r="K173" s="131"/>
      <c r="L173" s="131"/>
    </row>
    <row r="174" s="123" customFormat="1" spans="1:12">
      <c r="A174" s="122"/>
      <c r="B174" s="125"/>
      <c r="C174" s="122"/>
      <c r="D174" s="126"/>
      <c r="E174" s="127"/>
      <c r="F174" s="128"/>
      <c r="G174" s="129"/>
      <c r="H174" s="129"/>
      <c r="I174" s="130"/>
      <c r="J174" s="131"/>
      <c r="K174" s="131"/>
      <c r="L174" s="131"/>
    </row>
    <row r="175" s="123" customFormat="1" spans="1:12">
      <c r="A175" s="122"/>
      <c r="B175" s="125"/>
      <c r="C175" s="122"/>
      <c r="D175" s="126"/>
      <c r="E175" s="127"/>
      <c r="F175" s="128"/>
      <c r="G175" s="129"/>
      <c r="H175" s="129"/>
      <c r="I175" s="130"/>
      <c r="J175" s="131"/>
      <c r="K175" s="131"/>
      <c r="L175" s="131"/>
    </row>
    <row r="176" s="123" customFormat="1" spans="1:12">
      <c r="A176" s="122"/>
      <c r="B176" s="125"/>
      <c r="C176" s="122"/>
      <c r="D176" s="126"/>
      <c r="E176" s="127"/>
      <c r="F176" s="128"/>
      <c r="G176" s="129"/>
      <c r="H176" s="129"/>
      <c r="I176" s="130"/>
      <c r="J176" s="131"/>
      <c r="K176" s="131"/>
      <c r="L176" s="131"/>
    </row>
    <row r="177" s="123" customFormat="1" spans="1:12">
      <c r="A177" s="122"/>
      <c r="B177" s="125"/>
      <c r="C177" s="122"/>
      <c r="D177" s="126"/>
      <c r="E177" s="127"/>
      <c r="F177" s="128"/>
      <c r="G177" s="129"/>
      <c r="H177" s="129"/>
      <c r="I177" s="130"/>
      <c r="J177" s="131"/>
      <c r="K177" s="131"/>
      <c r="L177" s="131"/>
    </row>
    <row r="178" s="123" customFormat="1" spans="1:12">
      <c r="A178" s="122"/>
      <c r="B178" s="125"/>
      <c r="C178" s="122"/>
      <c r="D178" s="126"/>
      <c r="E178" s="127"/>
      <c r="F178" s="128"/>
      <c r="G178" s="129"/>
      <c r="H178" s="129"/>
      <c r="I178" s="130"/>
      <c r="J178" s="131"/>
      <c r="K178" s="131"/>
      <c r="L178" s="131"/>
    </row>
    <row r="179" s="123" customFormat="1" spans="1:12">
      <c r="A179" s="122"/>
      <c r="B179" s="125"/>
      <c r="C179" s="122"/>
      <c r="D179" s="126"/>
      <c r="E179" s="127"/>
      <c r="F179" s="128"/>
      <c r="G179" s="129"/>
      <c r="H179" s="129"/>
      <c r="I179" s="130"/>
      <c r="J179" s="131"/>
      <c r="K179" s="131"/>
      <c r="L179" s="131"/>
    </row>
    <row r="180" s="123" customFormat="1" spans="1:12">
      <c r="A180" s="122"/>
      <c r="B180" s="125"/>
      <c r="C180" s="122"/>
      <c r="D180" s="126"/>
      <c r="E180" s="127"/>
      <c r="F180" s="128"/>
      <c r="G180" s="129"/>
      <c r="H180" s="129"/>
      <c r="I180" s="130"/>
      <c r="J180" s="131"/>
      <c r="K180" s="131"/>
      <c r="L180" s="131"/>
    </row>
    <row r="181" s="123" customFormat="1" spans="1:12">
      <c r="A181" s="122"/>
      <c r="B181" s="125"/>
      <c r="C181" s="122"/>
      <c r="D181" s="126"/>
      <c r="E181" s="127"/>
      <c r="F181" s="128"/>
      <c r="G181" s="129"/>
      <c r="H181" s="129"/>
      <c r="I181" s="130"/>
      <c r="J181" s="131"/>
      <c r="K181" s="131"/>
      <c r="L181" s="131"/>
    </row>
    <row r="182" s="123" customFormat="1" spans="1:12">
      <c r="A182" s="122"/>
      <c r="B182" s="125"/>
      <c r="C182" s="122"/>
      <c r="D182" s="126"/>
      <c r="E182" s="127"/>
      <c r="F182" s="128"/>
      <c r="G182" s="129"/>
      <c r="H182" s="129"/>
      <c r="I182" s="130"/>
      <c r="J182" s="131"/>
      <c r="K182" s="131"/>
      <c r="L182" s="131"/>
    </row>
    <row r="183" s="123" customFormat="1" spans="1:12">
      <c r="A183" s="122"/>
      <c r="B183" s="125"/>
      <c r="C183" s="122"/>
      <c r="D183" s="126"/>
      <c r="E183" s="127"/>
      <c r="F183" s="128"/>
      <c r="G183" s="129"/>
      <c r="H183" s="129"/>
      <c r="I183" s="130"/>
      <c r="J183" s="131"/>
      <c r="K183" s="131"/>
      <c r="L183" s="131"/>
    </row>
    <row r="184" s="123" customFormat="1" spans="1:12">
      <c r="A184" s="122"/>
      <c r="B184" s="125"/>
      <c r="C184" s="122"/>
      <c r="D184" s="126"/>
      <c r="E184" s="127"/>
      <c r="F184" s="128"/>
      <c r="G184" s="129"/>
      <c r="H184" s="129"/>
      <c r="I184" s="130"/>
      <c r="J184" s="131"/>
      <c r="K184" s="131"/>
      <c r="L184" s="131"/>
    </row>
    <row r="185" s="123" customFormat="1" spans="1:12">
      <c r="A185" s="122"/>
      <c r="B185" s="125"/>
      <c r="C185" s="122"/>
      <c r="D185" s="126"/>
      <c r="E185" s="127"/>
      <c r="F185" s="128"/>
      <c r="G185" s="129"/>
      <c r="H185" s="129"/>
      <c r="I185" s="130"/>
      <c r="J185" s="131"/>
      <c r="K185" s="131"/>
      <c r="L185" s="131"/>
    </row>
    <row r="186" s="123" customFormat="1" spans="1:12">
      <c r="A186" s="122"/>
      <c r="B186" s="125"/>
      <c r="C186" s="122"/>
      <c r="D186" s="126"/>
      <c r="E186" s="127"/>
      <c r="F186" s="128"/>
      <c r="G186" s="129"/>
      <c r="H186" s="129"/>
      <c r="I186" s="130"/>
      <c r="J186" s="131"/>
      <c r="K186" s="131"/>
      <c r="L186" s="131"/>
    </row>
    <row r="187" s="123" customFormat="1" spans="1:12">
      <c r="A187" s="122"/>
      <c r="B187" s="125"/>
      <c r="C187" s="122"/>
      <c r="D187" s="126"/>
      <c r="E187" s="127"/>
      <c r="F187" s="128"/>
      <c r="G187" s="129"/>
      <c r="H187" s="129"/>
      <c r="I187" s="130"/>
      <c r="J187" s="131"/>
      <c r="K187" s="131"/>
      <c r="L187" s="131"/>
    </row>
    <row r="188" s="123" customFormat="1" spans="1:12">
      <c r="A188" s="122"/>
      <c r="B188" s="125"/>
      <c r="C188" s="122"/>
      <c r="D188" s="126"/>
      <c r="E188" s="127"/>
      <c r="F188" s="128"/>
      <c r="G188" s="129"/>
      <c r="H188" s="129"/>
      <c r="I188" s="130"/>
      <c r="J188" s="131"/>
      <c r="K188" s="131"/>
      <c r="L188" s="131"/>
    </row>
    <row r="189" s="123" customFormat="1" spans="1:12">
      <c r="A189" s="122"/>
      <c r="B189" s="125"/>
      <c r="C189" s="122"/>
      <c r="D189" s="126"/>
      <c r="E189" s="127"/>
      <c r="F189" s="128"/>
      <c r="G189" s="129"/>
      <c r="H189" s="129"/>
      <c r="I189" s="130"/>
      <c r="J189" s="131"/>
      <c r="K189" s="131"/>
      <c r="L189" s="131"/>
    </row>
    <row r="190" s="123" customFormat="1" spans="1:12">
      <c r="A190" s="122"/>
      <c r="B190" s="125"/>
      <c r="C190" s="122"/>
      <c r="D190" s="126"/>
      <c r="E190" s="127"/>
      <c r="F190" s="128"/>
      <c r="G190" s="129"/>
      <c r="H190" s="129"/>
      <c r="I190" s="130"/>
      <c r="J190" s="131"/>
      <c r="K190" s="131"/>
      <c r="L190" s="131"/>
    </row>
    <row r="191" s="123" customFormat="1" spans="1:12">
      <c r="A191" s="122"/>
      <c r="B191" s="125"/>
      <c r="C191" s="122"/>
      <c r="D191" s="126"/>
      <c r="E191" s="127"/>
      <c r="F191" s="128"/>
      <c r="G191" s="129"/>
      <c r="H191" s="129"/>
      <c r="I191" s="130"/>
      <c r="J191" s="131"/>
      <c r="K191" s="131"/>
      <c r="L191" s="131"/>
    </row>
    <row r="192" s="123" customFormat="1" spans="1:12">
      <c r="A192" s="122"/>
      <c r="B192" s="125"/>
      <c r="C192" s="122"/>
      <c r="D192" s="126"/>
      <c r="E192" s="127"/>
      <c r="F192" s="128"/>
      <c r="G192" s="129"/>
      <c r="H192" s="129"/>
      <c r="I192" s="130"/>
      <c r="J192" s="131"/>
      <c r="K192" s="131"/>
      <c r="L192" s="131"/>
    </row>
    <row r="193" s="123" customFormat="1" spans="1:12">
      <c r="A193" s="122"/>
      <c r="B193" s="125"/>
      <c r="C193" s="122"/>
      <c r="D193" s="126"/>
      <c r="E193" s="127"/>
      <c r="F193" s="128"/>
      <c r="G193" s="129"/>
      <c r="H193" s="129"/>
      <c r="I193" s="130"/>
      <c r="J193" s="131"/>
      <c r="K193" s="131"/>
      <c r="L193" s="131"/>
    </row>
    <row r="194" s="123" customFormat="1" spans="1:12">
      <c r="A194" s="122"/>
      <c r="B194" s="125"/>
      <c r="C194" s="122"/>
      <c r="D194" s="126"/>
      <c r="E194" s="127"/>
      <c r="F194" s="128"/>
      <c r="G194" s="129"/>
      <c r="H194" s="129"/>
      <c r="I194" s="130"/>
      <c r="J194" s="131"/>
      <c r="K194" s="131"/>
      <c r="L194" s="131"/>
    </row>
    <row r="195" s="123" customFormat="1" spans="1:12">
      <c r="A195" s="122"/>
      <c r="B195" s="125"/>
      <c r="C195" s="122"/>
      <c r="D195" s="126"/>
      <c r="E195" s="127"/>
      <c r="F195" s="128"/>
      <c r="G195" s="129"/>
      <c r="H195" s="129"/>
      <c r="I195" s="130"/>
      <c r="J195" s="131"/>
      <c r="K195" s="131"/>
      <c r="L195" s="131"/>
    </row>
    <row r="196" s="123" customFormat="1" spans="1:12">
      <c r="A196" s="122"/>
      <c r="B196" s="125"/>
      <c r="C196" s="122"/>
      <c r="D196" s="126"/>
      <c r="E196" s="127"/>
      <c r="F196" s="128"/>
      <c r="G196" s="129"/>
      <c r="H196" s="129"/>
      <c r="I196" s="130"/>
      <c r="J196" s="131"/>
      <c r="K196" s="131"/>
      <c r="L196" s="131"/>
    </row>
    <row r="197" s="123" customFormat="1" spans="1:12">
      <c r="A197" s="122"/>
      <c r="B197" s="125"/>
      <c r="C197" s="122"/>
      <c r="D197" s="126"/>
      <c r="E197" s="127"/>
      <c r="F197" s="128"/>
      <c r="G197" s="129"/>
      <c r="H197" s="129"/>
      <c r="I197" s="130"/>
      <c r="J197" s="131"/>
      <c r="K197" s="131"/>
      <c r="L197" s="131"/>
    </row>
    <row r="198" s="123" customFormat="1" spans="1:12">
      <c r="A198" s="122"/>
      <c r="B198" s="125"/>
      <c r="C198" s="122"/>
      <c r="D198" s="126"/>
      <c r="E198" s="127"/>
      <c r="F198" s="128"/>
      <c r="G198" s="129"/>
      <c r="H198" s="129"/>
      <c r="I198" s="130"/>
      <c r="J198" s="131"/>
      <c r="K198" s="131"/>
      <c r="L198" s="131"/>
    </row>
    <row r="199" s="123" customFormat="1" spans="1:12">
      <c r="A199" s="122"/>
      <c r="B199" s="125"/>
      <c r="C199" s="122"/>
      <c r="D199" s="126"/>
      <c r="E199" s="127"/>
      <c r="F199" s="128"/>
      <c r="G199" s="129"/>
      <c r="H199" s="129"/>
      <c r="I199" s="130"/>
      <c r="J199" s="131"/>
      <c r="K199" s="131"/>
      <c r="L199" s="131"/>
    </row>
    <row r="200" s="123" customFormat="1" spans="1:12">
      <c r="A200" s="122"/>
      <c r="B200" s="125"/>
      <c r="C200" s="122"/>
      <c r="D200" s="126"/>
      <c r="E200" s="127"/>
      <c r="F200" s="128"/>
      <c r="G200" s="129"/>
      <c r="H200" s="129"/>
      <c r="I200" s="130"/>
      <c r="J200" s="131"/>
      <c r="K200" s="131"/>
      <c r="L200" s="131"/>
    </row>
    <row r="201" s="123" customFormat="1" spans="1:12">
      <c r="A201" s="122"/>
      <c r="B201" s="125"/>
      <c r="C201" s="122"/>
      <c r="D201" s="126"/>
      <c r="E201" s="127"/>
      <c r="F201" s="128"/>
      <c r="G201" s="129"/>
      <c r="H201" s="129"/>
      <c r="I201" s="130"/>
      <c r="J201" s="131"/>
      <c r="K201" s="131"/>
      <c r="L201" s="131"/>
    </row>
    <row r="202" s="123" customFormat="1" spans="1:12">
      <c r="A202" s="122"/>
      <c r="B202" s="125"/>
      <c r="C202" s="122"/>
      <c r="D202" s="126"/>
      <c r="E202" s="127"/>
      <c r="F202" s="128"/>
      <c r="G202" s="129"/>
      <c r="H202" s="129"/>
      <c r="I202" s="130"/>
      <c r="J202" s="131"/>
      <c r="K202" s="131"/>
      <c r="L202" s="131"/>
    </row>
    <row r="203" s="123" customFormat="1" spans="1:12">
      <c r="A203" s="122"/>
      <c r="B203" s="125"/>
      <c r="C203" s="122"/>
      <c r="D203" s="126"/>
      <c r="E203" s="127"/>
      <c r="F203" s="128"/>
      <c r="G203" s="129"/>
      <c r="H203" s="129"/>
      <c r="I203" s="130"/>
      <c r="J203" s="131"/>
      <c r="K203" s="131"/>
      <c r="L203" s="131"/>
    </row>
    <row r="204" s="123" customFormat="1" spans="1:12">
      <c r="A204" s="122"/>
      <c r="B204" s="125"/>
      <c r="C204" s="122"/>
      <c r="D204" s="126"/>
      <c r="E204" s="127"/>
      <c r="F204" s="128"/>
      <c r="G204" s="129"/>
      <c r="H204" s="129"/>
      <c r="I204" s="130"/>
      <c r="J204" s="131"/>
      <c r="K204" s="131"/>
      <c r="L204" s="131"/>
    </row>
    <row r="205" s="123" customFormat="1" spans="1:12">
      <c r="A205" s="122"/>
      <c r="B205" s="125"/>
      <c r="C205" s="122"/>
      <c r="D205" s="126"/>
      <c r="E205" s="127"/>
      <c r="F205" s="128"/>
      <c r="G205" s="129"/>
      <c r="H205" s="129"/>
      <c r="I205" s="130"/>
      <c r="J205" s="131"/>
      <c r="K205" s="131"/>
      <c r="L205" s="131"/>
    </row>
    <row r="206" s="123" customFormat="1" spans="1:12">
      <c r="A206" s="122"/>
      <c r="B206" s="125"/>
      <c r="C206" s="122"/>
      <c r="D206" s="126"/>
      <c r="E206" s="127"/>
      <c r="F206" s="128"/>
      <c r="G206" s="129"/>
      <c r="H206" s="129"/>
      <c r="I206" s="130"/>
      <c r="J206" s="131"/>
      <c r="K206" s="131"/>
      <c r="L206" s="131"/>
    </row>
    <row r="207" s="123" customFormat="1" spans="1:12">
      <c r="A207" s="122"/>
      <c r="B207" s="125"/>
      <c r="C207" s="122"/>
      <c r="D207" s="126"/>
      <c r="E207" s="127"/>
      <c r="F207" s="128"/>
      <c r="G207" s="129"/>
      <c r="H207" s="129"/>
      <c r="I207" s="130"/>
      <c r="J207" s="131"/>
      <c r="K207" s="131"/>
      <c r="L207" s="131"/>
    </row>
    <row r="208" s="123" customFormat="1" spans="1:12">
      <c r="A208" s="122"/>
      <c r="B208" s="125"/>
      <c r="C208" s="122"/>
      <c r="D208" s="126"/>
      <c r="E208" s="127"/>
      <c r="F208" s="128"/>
      <c r="G208" s="129"/>
      <c r="H208" s="129"/>
      <c r="I208" s="130"/>
      <c r="J208" s="131"/>
      <c r="K208" s="131"/>
      <c r="L208" s="131"/>
    </row>
    <row r="209" s="123" customFormat="1" spans="1:12">
      <c r="A209" s="122"/>
      <c r="B209" s="125"/>
      <c r="C209" s="122"/>
      <c r="D209" s="126"/>
      <c r="E209" s="127"/>
      <c r="F209" s="128"/>
      <c r="G209" s="129"/>
      <c r="H209" s="129"/>
      <c r="I209" s="130"/>
      <c r="J209" s="131"/>
      <c r="K209" s="131"/>
      <c r="L209" s="131"/>
    </row>
    <row r="210" s="123" customFormat="1" spans="1:12">
      <c r="A210" s="122"/>
      <c r="B210" s="125"/>
      <c r="C210" s="122"/>
      <c r="D210" s="126"/>
      <c r="E210" s="127"/>
      <c r="F210" s="128"/>
      <c r="G210" s="129"/>
      <c r="H210" s="129"/>
      <c r="I210" s="130"/>
      <c r="J210" s="131"/>
      <c r="K210" s="131"/>
      <c r="L210" s="131"/>
    </row>
    <row r="211" s="123" customFormat="1" spans="1:12">
      <c r="A211" s="122"/>
      <c r="B211" s="125"/>
      <c r="C211" s="122"/>
      <c r="D211" s="126"/>
      <c r="E211" s="127"/>
      <c r="F211" s="128"/>
      <c r="G211" s="129"/>
      <c r="H211" s="129"/>
      <c r="I211" s="130"/>
      <c r="J211" s="131"/>
      <c r="K211" s="131"/>
      <c r="L211" s="131"/>
    </row>
    <row r="212" s="123" customFormat="1" spans="1:12">
      <c r="A212" s="122"/>
      <c r="B212" s="125"/>
      <c r="C212" s="122"/>
      <c r="D212" s="126"/>
      <c r="E212" s="127"/>
      <c r="F212" s="128"/>
      <c r="G212" s="129"/>
      <c r="H212" s="129"/>
      <c r="I212" s="130"/>
      <c r="J212" s="131"/>
      <c r="K212" s="131"/>
      <c r="L212" s="131"/>
    </row>
    <row r="213" s="123" customFormat="1" spans="1:12">
      <c r="A213" s="122"/>
      <c r="B213" s="125"/>
      <c r="C213" s="122"/>
      <c r="D213" s="126"/>
      <c r="E213" s="127"/>
      <c r="F213" s="128"/>
      <c r="G213" s="129"/>
      <c r="H213" s="129"/>
      <c r="I213" s="130"/>
      <c r="J213" s="131"/>
      <c r="K213" s="131"/>
      <c r="L213" s="131"/>
    </row>
    <row r="214" s="123" customFormat="1" spans="1:12">
      <c r="A214" s="122"/>
      <c r="B214" s="125"/>
      <c r="C214" s="122"/>
      <c r="D214" s="126"/>
      <c r="E214" s="127"/>
      <c r="F214" s="128"/>
      <c r="G214" s="129"/>
      <c r="H214" s="129"/>
      <c r="I214" s="130"/>
      <c r="J214" s="131"/>
      <c r="K214" s="131"/>
      <c r="L214" s="131"/>
    </row>
    <row r="215" s="123" customFormat="1" spans="1:12">
      <c r="A215" s="122"/>
      <c r="B215" s="125"/>
      <c r="C215" s="122"/>
      <c r="D215" s="126"/>
      <c r="E215" s="127"/>
      <c r="F215" s="128"/>
      <c r="G215" s="129"/>
      <c r="H215" s="129"/>
      <c r="I215" s="130"/>
      <c r="J215" s="131"/>
      <c r="K215" s="131"/>
      <c r="L215" s="131"/>
    </row>
    <row r="216" s="123" customFormat="1" spans="1:12">
      <c r="A216" s="122"/>
      <c r="B216" s="125"/>
      <c r="C216" s="122"/>
      <c r="D216" s="126"/>
      <c r="E216" s="127"/>
      <c r="F216" s="128"/>
      <c r="G216" s="129"/>
      <c r="H216" s="129"/>
      <c r="I216" s="130"/>
      <c r="J216" s="131"/>
      <c r="K216" s="131"/>
      <c r="L216" s="131"/>
    </row>
  </sheetData>
  <autoFilter ref="A1:L159">
    <extLst/>
  </autoFilter>
  <mergeCells count="10">
    <mergeCell ref="A1:I1"/>
    <mergeCell ref="A2:I2"/>
    <mergeCell ref="G3:H3"/>
    <mergeCell ref="A3:A4"/>
    <mergeCell ref="B3:B4"/>
    <mergeCell ref="C3:C4"/>
    <mergeCell ref="D3:D4"/>
    <mergeCell ref="E3:E4"/>
    <mergeCell ref="F3:F4"/>
    <mergeCell ref="I3:I4"/>
  </mergeCells>
  <pageMargins left="0.393055555555556" right="0.196527777777778" top="0.472222222222222" bottom="0.66875" header="0.236111111111111" footer="0.432638888888889"/>
  <pageSetup paperSize="9" scale="93" fitToHeight="0" orientation="portrait" horizontalDpi="600"/>
  <headerFooter>
    <oddHeader>&amp;R
&amp;10
第&amp;P页 共&amp;N页</oddHeader>
    <oddFooter>&amp;L&amp;10建设单位：&amp;C&amp;10施工单位：&amp;R&amp;10审核单位：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87"/>
  <sheetViews>
    <sheetView workbookViewId="0">
      <pane ySplit="3" topLeftCell="A154" activePane="bottomLeft" state="frozenSplit"/>
      <selection/>
      <selection pane="bottomLeft" activeCell="R160" sqref="R160"/>
    </sheetView>
  </sheetViews>
  <sheetFormatPr defaultColWidth="9" defaultRowHeight="16.5" customHeight="1"/>
  <cols>
    <col min="1" max="1" width="5.625" style="62" customWidth="1"/>
    <col min="2" max="2" width="34.75" style="63" customWidth="1"/>
    <col min="3" max="3" width="5.13333333333333" style="62" customWidth="1"/>
    <col min="4" max="4" width="47.625" style="64" customWidth="1"/>
    <col min="5" max="5" width="8.88333333333333" style="65" customWidth="1"/>
    <col min="6" max="6" width="18.25" style="66" customWidth="1"/>
    <col min="7" max="7" width="11.125" style="65" hidden="1" customWidth="1"/>
    <col min="8" max="9" width="12.625" style="65" hidden="1" customWidth="1"/>
    <col min="10" max="12" width="9" style="65" hidden="1" customWidth="1"/>
    <col min="13" max="13" width="9" style="65"/>
    <col min="14" max="14" width="12.625" style="65"/>
    <col min="15" max="15" width="9" style="65"/>
    <col min="16" max="16" width="14.125" style="65"/>
    <col min="17" max="16384" width="9" style="65"/>
  </cols>
  <sheetData>
    <row r="1" ht="49" customHeight="1" spans="1:6">
      <c r="A1" s="67" t="s">
        <v>98</v>
      </c>
      <c r="B1" s="68"/>
      <c r="C1" s="67"/>
      <c r="D1" s="69"/>
      <c r="E1" s="70"/>
      <c r="F1" s="71"/>
    </row>
    <row r="2" customHeight="1" spans="1:6">
      <c r="A2" s="72" t="s">
        <v>22</v>
      </c>
      <c r="B2" s="72"/>
      <c r="C2" s="72"/>
      <c r="D2" s="73"/>
      <c r="E2" s="73"/>
      <c r="F2" s="73"/>
    </row>
    <row r="3" s="57" customFormat="1" customHeight="1" spans="1:6">
      <c r="A3" s="74" t="s">
        <v>48</v>
      </c>
      <c r="B3" s="74" t="s">
        <v>24</v>
      </c>
      <c r="C3" s="74" t="s">
        <v>25</v>
      </c>
      <c r="D3" s="74" t="s">
        <v>99</v>
      </c>
      <c r="E3" s="74" t="s">
        <v>100</v>
      </c>
      <c r="F3" s="74" t="s">
        <v>52</v>
      </c>
    </row>
    <row r="4" s="58" customFormat="1" customHeight="1" spans="1:6">
      <c r="A4" s="75"/>
      <c r="B4" s="75" t="s">
        <v>57</v>
      </c>
      <c r="C4" s="76"/>
      <c r="D4" s="77"/>
      <c r="E4" s="78"/>
      <c r="F4" s="79"/>
    </row>
    <row r="5" s="57" customFormat="1" customHeight="1" spans="1:6">
      <c r="A5" s="80" t="s">
        <v>101</v>
      </c>
      <c r="B5" s="81" t="s">
        <v>102</v>
      </c>
      <c r="C5" s="82"/>
      <c r="D5" s="83"/>
      <c r="E5" s="84"/>
      <c r="F5" s="85"/>
    </row>
    <row r="6" s="58" customFormat="1" customHeight="1" spans="1:6">
      <c r="A6" s="74">
        <v>1</v>
      </c>
      <c r="B6" s="86" t="s">
        <v>103</v>
      </c>
      <c r="C6" s="87" t="s">
        <v>104</v>
      </c>
      <c r="D6" s="88">
        <v>0</v>
      </c>
      <c r="E6" s="89">
        <f ca="1">EVALUATE(D6)</f>
        <v>0</v>
      </c>
      <c r="F6" s="90"/>
    </row>
    <row r="7" s="57" customFormat="1" customHeight="1" spans="1:6">
      <c r="A7" s="80" t="s">
        <v>105</v>
      </c>
      <c r="B7" s="81" t="s">
        <v>106</v>
      </c>
      <c r="C7" s="82"/>
      <c r="D7" s="83"/>
      <c r="E7" s="84"/>
      <c r="F7" s="85"/>
    </row>
    <row r="8" s="57" customFormat="1" customHeight="1" spans="1:6">
      <c r="A8" s="91" t="s">
        <v>107</v>
      </c>
      <c r="B8" s="92" t="s">
        <v>108</v>
      </c>
      <c r="C8" s="93" t="s">
        <v>104</v>
      </c>
      <c r="D8" s="94"/>
      <c r="E8" s="95"/>
      <c r="F8" s="96"/>
    </row>
    <row r="9" s="57" customFormat="1" customHeight="1" spans="1:6">
      <c r="A9" s="74">
        <v>1</v>
      </c>
      <c r="B9" s="86" t="s">
        <v>82</v>
      </c>
      <c r="C9" s="87" t="s">
        <v>62</v>
      </c>
      <c r="D9" s="88" t="s">
        <v>109</v>
      </c>
      <c r="E9" s="89">
        <f ca="1" t="shared" ref="E7:E33" si="0">EVALUATE(D9)</f>
        <v>3.2</v>
      </c>
      <c r="F9" s="90"/>
    </row>
    <row r="10" s="57" customFormat="1" customHeight="1" spans="1:6">
      <c r="A10" s="74">
        <v>2</v>
      </c>
      <c r="B10" s="86" t="s">
        <v>83</v>
      </c>
      <c r="C10" s="87" t="s">
        <v>62</v>
      </c>
      <c r="D10" s="88">
        <v>0</v>
      </c>
      <c r="E10" s="89">
        <f ca="1" t="shared" si="0"/>
        <v>0</v>
      </c>
      <c r="F10" s="90"/>
    </row>
    <row r="11" s="59" customFormat="1" customHeight="1" spans="1:6">
      <c r="A11" s="74">
        <v>3</v>
      </c>
      <c r="B11" s="86" t="s">
        <v>84</v>
      </c>
      <c r="C11" s="87" t="s">
        <v>62</v>
      </c>
      <c r="D11" s="88">
        <v>0</v>
      </c>
      <c r="E11" s="89">
        <f ca="1" t="shared" si="0"/>
        <v>0</v>
      </c>
      <c r="F11" s="97"/>
    </row>
    <row r="12" s="57" customFormat="1" ht="24" spans="1:6">
      <c r="A12" s="74">
        <v>4</v>
      </c>
      <c r="B12" s="86" t="s">
        <v>110</v>
      </c>
      <c r="C12" s="87" t="s">
        <v>62</v>
      </c>
      <c r="D12" s="88" t="s">
        <v>111</v>
      </c>
      <c r="E12" s="89">
        <f ca="1" t="shared" si="0"/>
        <v>0.53061</v>
      </c>
      <c r="F12" s="90"/>
    </row>
    <row r="13" s="57" customFormat="1" customHeight="1" spans="1:6">
      <c r="A13" s="74">
        <v>5</v>
      </c>
      <c r="B13" s="86" t="s">
        <v>112</v>
      </c>
      <c r="C13" s="87" t="s">
        <v>62</v>
      </c>
      <c r="D13" s="88" t="s">
        <v>113</v>
      </c>
      <c r="E13" s="89">
        <f ca="1" t="shared" si="0"/>
        <v>0.08496</v>
      </c>
      <c r="F13" s="90"/>
    </row>
    <row r="14" s="57" customFormat="1" ht="24" spans="1:8">
      <c r="A14" s="74">
        <v>6</v>
      </c>
      <c r="B14" s="86" t="s">
        <v>114</v>
      </c>
      <c r="C14" s="87" t="s">
        <v>60</v>
      </c>
      <c r="D14" s="88" t="s">
        <v>115</v>
      </c>
      <c r="E14" s="98">
        <f ca="1" t="shared" si="0"/>
        <v>0.01296934</v>
      </c>
      <c r="F14" s="90"/>
      <c r="G14" s="57">
        <f>1.2/0.15</f>
        <v>8</v>
      </c>
      <c r="H14" s="57">
        <f>1.3/0.15</f>
        <v>8.66666666666667</v>
      </c>
    </row>
    <row r="15" s="57" customFormat="1" customHeight="1" spans="1:8">
      <c r="A15" s="74">
        <v>7</v>
      </c>
      <c r="B15" s="86" t="s">
        <v>116</v>
      </c>
      <c r="C15" s="87" t="s">
        <v>117</v>
      </c>
      <c r="D15" s="88" t="s">
        <v>118</v>
      </c>
      <c r="E15" s="89">
        <f ca="1" t="shared" si="0"/>
        <v>5.2812</v>
      </c>
      <c r="F15" s="90"/>
      <c r="G15" s="57">
        <f>0.6/0.15</f>
        <v>4</v>
      </c>
      <c r="H15" s="57">
        <f>0.72/0.15</f>
        <v>4.8</v>
      </c>
    </row>
    <row r="16" s="57" customFormat="1" customHeight="1" spans="1:6">
      <c r="A16" s="74">
        <v>8</v>
      </c>
      <c r="B16" s="86" t="s">
        <v>119</v>
      </c>
      <c r="C16" s="87" t="s">
        <v>60</v>
      </c>
      <c r="D16" s="88">
        <v>0</v>
      </c>
      <c r="E16" s="89">
        <f ca="1" t="shared" si="0"/>
        <v>0</v>
      </c>
      <c r="F16" s="90"/>
    </row>
    <row r="17" s="57" customFormat="1" customHeight="1" spans="1:6">
      <c r="A17" s="91" t="s">
        <v>120</v>
      </c>
      <c r="B17" s="92" t="s">
        <v>121</v>
      </c>
      <c r="C17" s="93" t="s">
        <v>122</v>
      </c>
      <c r="D17" s="94"/>
      <c r="E17" s="95"/>
      <c r="F17" s="96"/>
    </row>
    <row r="18" s="57" customFormat="1" customHeight="1" spans="1:6">
      <c r="A18" s="74">
        <v>1</v>
      </c>
      <c r="B18" s="86" t="s">
        <v>82</v>
      </c>
      <c r="C18" s="87" t="s">
        <v>62</v>
      </c>
      <c r="D18" s="88" t="s">
        <v>123</v>
      </c>
      <c r="E18" s="89">
        <f ca="1" t="shared" si="0"/>
        <v>39.521177465</v>
      </c>
      <c r="F18" s="90"/>
    </row>
    <row r="19" s="57" customFormat="1" customHeight="1" spans="1:7">
      <c r="A19" s="74">
        <v>2</v>
      </c>
      <c r="B19" s="86" t="s">
        <v>83</v>
      </c>
      <c r="C19" s="87" t="s">
        <v>62</v>
      </c>
      <c r="D19" s="88" t="s">
        <v>124</v>
      </c>
      <c r="E19" s="89">
        <f ca="1" t="shared" si="0"/>
        <v>16.937647485</v>
      </c>
      <c r="F19" s="90"/>
      <c r="G19" s="57">
        <f>2.25+0.2+0.15+0.2-(1.02+0.84)/2</f>
        <v>1.87</v>
      </c>
    </row>
    <row r="20" s="57" customFormat="1" customHeight="1" spans="1:7">
      <c r="A20" s="74">
        <v>3</v>
      </c>
      <c r="B20" s="86" t="s">
        <v>84</v>
      </c>
      <c r="C20" s="87" t="s">
        <v>62</v>
      </c>
      <c r="D20" s="88" t="s">
        <v>125</v>
      </c>
      <c r="E20" s="89">
        <f ca="1" t="shared" si="0"/>
        <v>26.99648127</v>
      </c>
      <c r="F20" s="90"/>
      <c r="G20" s="57">
        <f>G21/2</f>
        <v>2.77</v>
      </c>
    </row>
    <row r="21" s="57" customFormat="1" customHeight="1" spans="1:7">
      <c r="A21" s="74">
        <v>4</v>
      </c>
      <c r="B21" s="86" t="s">
        <v>126</v>
      </c>
      <c r="C21" s="87" t="s">
        <v>62</v>
      </c>
      <c r="D21" s="88" t="s">
        <v>127</v>
      </c>
      <c r="E21" s="89">
        <f ca="1" t="shared" si="0"/>
        <v>2.90293</v>
      </c>
      <c r="F21" s="90"/>
      <c r="G21" s="57">
        <f>4.54+1</f>
        <v>5.54</v>
      </c>
    </row>
    <row r="22" s="57" customFormat="1" customHeight="1" spans="1:10">
      <c r="A22" s="74">
        <v>5</v>
      </c>
      <c r="B22" s="86" t="s">
        <v>128</v>
      </c>
      <c r="C22" s="87" t="s">
        <v>62</v>
      </c>
      <c r="D22" s="88">
        <f ca="1">E23+E24+E25+E26</f>
        <v>8.2833631</v>
      </c>
      <c r="E22" s="89">
        <f ca="1" t="shared" si="0"/>
        <v>8.2833631</v>
      </c>
      <c r="F22" s="90"/>
      <c r="G22" s="57">
        <f>4.54/2</f>
        <v>2.27</v>
      </c>
      <c r="H22" s="57">
        <f>4.54-0.24*2</f>
        <v>4.06</v>
      </c>
      <c r="I22" s="57">
        <f>4.54-0.24</f>
        <v>4.3</v>
      </c>
      <c r="J22" s="57">
        <f>I22+0.12</f>
        <v>4.42</v>
      </c>
    </row>
    <row r="23" s="57" customFormat="1" customHeight="1" spans="1:6">
      <c r="A23" s="74"/>
      <c r="B23" s="86" t="s">
        <v>129</v>
      </c>
      <c r="C23" s="87" t="s">
        <v>62</v>
      </c>
      <c r="D23" s="88" t="s">
        <v>130</v>
      </c>
      <c r="E23" s="89">
        <f ca="1" t="shared" si="0"/>
        <v>5.6630371</v>
      </c>
      <c r="F23" s="90"/>
    </row>
    <row r="24" s="57" customFormat="1" customHeight="1" spans="1:6">
      <c r="A24" s="74"/>
      <c r="B24" s="86" t="s">
        <v>131</v>
      </c>
      <c r="C24" s="87" t="s">
        <v>62</v>
      </c>
      <c r="D24" s="88" t="s">
        <v>132</v>
      </c>
      <c r="E24" s="89">
        <f ca="1" t="shared" si="0"/>
        <v>1.425</v>
      </c>
      <c r="F24" s="90"/>
    </row>
    <row r="25" s="57" customFormat="1" customHeight="1" spans="1:6">
      <c r="A25" s="74"/>
      <c r="B25" s="86" t="s">
        <v>133</v>
      </c>
      <c r="C25" s="87" t="s">
        <v>62</v>
      </c>
      <c r="D25" s="88" t="s">
        <v>134</v>
      </c>
      <c r="E25" s="89">
        <f ca="1" t="shared" si="0"/>
        <v>0.513726</v>
      </c>
      <c r="F25" s="90"/>
    </row>
    <row r="26" s="57" customFormat="1" customHeight="1" spans="1:6">
      <c r="A26" s="74"/>
      <c r="B26" s="86" t="s">
        <v>135</v>
      </c>
      <c r="C26" s="87" t="s">
        <v>62</v>
      </c>
      <c r="D26" s="88" t="s">
        <v>136</v>
      </c>
      <c r="E26" s="89">
        <f ca="1" t="shared" si="0"/>
        <v>0.6816</v>
      </c>
      <c r="F26" s="90"/>
    </row>
    <row r="27" s="57" customFormat="1" customHeight="1" spans="1:10">
      <c r="A27" s="74">
        <v>6</v>
      </c>
      <c r="B27" s="86" t="s">
        <v>89</v>
      </c>
      <c r="C27" s="87" t="s">
        <v>117</v>
      </c>
      <c r="D27" s="88" t="s">
        <v>137</v>
      </c>
      <c r="E27" s="89">
        <f ca="1" t="shared" si="0"/>
        <v>15.077966</v>
      </c>
      <c r="F27" s="90"/>
      <c r="G27" s="57">
        <f>4.54-0.48</f>
        <v>4.06</v>
      </c>
      <c r="H27" s="57">
        <f>H22/2</f>
        <v>2.03</v>
      </c>
      <c r="I27" s="57">
        <f>I22/2</f>
        <v>2.15</v>
      </c>
      <c r="J27" s="57">
        <f>J22/2</f>
        <v>2.21</v>
      </c>
    </row>
    <row r="28" s="57" customFormat="1" customHeight="1" spans="1:6">
      <c r="A28" s="74">
        <v>7</v>
      </c>
      <c r="B28" s="86" t="s">
        <v>86</v>
      </c>
      <c r="C28" s="87" t="s">
        <v>60</v>
      </c>
      <c r="D28" s="88" t="s">
        <v>138</v>
      </c>
      <c r="E28" s="98">
        <f ca="1" t="shared" si="0"/>
        <v>0.5335812</v>
      </c>
      <c r="F28" s="90"/>
    </row>
    <row r="29" s="57" customFormat="1" customHeight="1" spans="1:6">
      <c r="A29" s="74">
        <v>8</v>
      </c>
      <c r="B29" s="86" t="s">
        <v>116</v>
      </c>
      <c r="C29" s="87" t="s">
        <v>117</v>
      </c>
      <c r="D29" s="88">
        <f ca="1">E30+E31+E32+E33</f>
        <v>93.325568</v>
      </c>
      <c r="E29" s="89">
        <f ca="1" t="shared" si="0"/>
        <v>93.325568</v>
      </c>
      <c r="F29" s="90"/>
    </row>
    <row r="30" s="57" customFormat="1" customHeight="1" spans="1:6">
      <c r="A30" s="74"/>
      <c r="B30" s="86" t="s">
        <v>129</v>
      </c>
      <c r="C30" s="87" t="s">
        <v>117</v>
      </c>
      <c r="D30" s="88" t="s">
        <v>139</v>
      </c>
      <c r="E30" s="89">
        <f ca="1" t="shared" si="0"/>
        <v>67.419568</v>
      </c>
      <c r="F30" s="90"/>
    </row>
    <row r="31" s="57" customFormat="1" customHeight="1" spans="1:6">
      <c r="A31" s="74"/>
      <c r="B31" s="86" t="s">
        <v>131</v>
      </c>
      <c r="C31" s="87" t="s">
        <v>117</v>
      </c>
      <c r="D31" s="88" t="s">
        <v>140</v>
      </c>
      <c r="E31" s="89">
        <f ca="1" t="shared" si="0"/>
        <v>11.894</v>
      </c>
      <c r="F31" s="90"/>
    </row>
    <row r="32" s="57" customFormat="1" customHeight="1" spans="1:6">
      <c r="A32" s="74"/>
      <c r="B32" s="86" t="s">
        <v>133</v>
      </c>
      <c r="C32" s="87" t="s">
        <v>117</v>
      </c>
      <c r="D32" s="88" t="s">
        <v>141</v>
      </c>
      <c r="E32" s="89">
        <f ca="1" t="shared" si="0"/>
        <v>6.38</v>
      </c>
      <c r="F32" s="90"/>
    </row>
    <row r="33" s="57" customFormat="1" customHeight="1" spans="1:6">
      <c r="A33" s="74"/>
      <c r="B33" s="86" t="s">
        <v>135</v>
      </c>
      <c r="C33" s="87" t="s">
        <v>117</v>
      </c>
      <c r="D33" s="88" t="s">
        <v>142</v>
      </c>
      <c r="E33" s="89">
        <f ca="1" t="shared" si="0"/>
        <v>7.632</v>
      </c>
      <c r="F33" s="90"/>
    </row>
    <row r="34" s="57" customFormat="1" customHeight="1" spans="1:6">
      <c r="A34" s="74">
        <v>9</v>
      </c>
      <c r="B34" s="86" t="s">
        <v>143</v>
      </c>
      <c r="C34" s="87" t="s">
        <v>117</v>
      </c>
      <c r="D34" s="88">
        <f ca="1">E35+E36+E37</f>
        <v>31.64988</v>
      </c>
      <c r="E34" s="89">
        <f ca="1" t="shared" ref="E34:E45" si="1">EVALUATE(D34)</f>
        <v>31.64988</v>
      </c>
      <c r="F34" s="90"/>
    </row>
    <row r="35" s="57" customFormat="1" customHeight="1" spans="1:6">
      <c r="A35" s="74"/>
      <c r="B35" s="86" t="s">
        <v>129</v>
      </c>
      <c r="C35" s="87" t="s">
        <v>117</v>
      </c>
      <c r="D35" s="88" t="s">
        <v>144</v>
      </c>
      <c r="E35" s="89">
        <f ca="1" t="shared" si="1"/>
        <v>14.96838</v>
      </c>
      <c r="F35" s="90"/>
    </row>
    <row r="36" s="57" customFormat="1" ht="24" spans="1:7">
      <c r="A36" s="74"/>
      <c r="B36" s="86" t="s">
        <v>135</v>
      </c>
      <c r="C36" s="87" t="s">
        <v>117</v>
      </c>
      <c r="D36" s="88" t="s">
        <v>145</v>
      </c>
      <c r="E36" s="89">
        <f ca="1" t="shared" si="1"/>
        <v>12.3747</v>
      </c>
      <c r="F36" s="90"/>
      <c r="G36" s="57">
        <f>1.35-0.18*2</f>
        <v>0.99</v>
      </c>
    </row>
    <row r="37" s="57" customFormat="1" customHeight="1" spans="1:9">
      <c r="A37" s="74"/>
      <c r="B37" s="86" t="s">
        <v>133</v>
      </c>
      <c r="C37" s="87" t="s">
        <v>117</v>
      </c>
      <c r="D37" s="99" t="s">
        <v>146</v>
      </c>
      <c r="E37" s="89">
        <f ca="1" t="shared" si="1"/>
        <v>4.3068</v>
      </c>
      <c r="F37" s="90"/>
      <c r="G37" s="57">
        <f>1.83-0.18*2</f>
        <v>1.47</v>
      </c>
      <c r="H37" s="57">
        <f>G37-0.06</f>
        <v>1.41</v>
      </c>
      <c r="I37" s="57">
        <f>H37/2</f>
        <v>0.705</v>
      </c>
    </row>
    <row r="38" s="57" customFormat="1" customHeight="1" spans="1:7">
      <c r="A38" s="74">
        <v>10</v>
      </c>
      <c r="B38" s="86" t="s">
        <v>110</v>
      </c>
      <c r="C38" s="87" t="s">
        <v>62</v>
      </c>
      <c r="D38" s="88">
        <f ca="1">E39+E40+E41+E42</f>
        <v>12.1198924</v>
      </c>
      <c r="E38" s="89">
        <f ca="1" t="shared" si="1"/>
        <v>12.1198924</v>
      </c>
      <c r="F38" s="90"/>
      <c r="G38" s="57">
        <f>1.5-0.24*2</f>
        <v>1.02</v>
      </c>
    </row>
    <row r="39" s="57" customFormat="1" customHeight="1" spans="1:7">
      <c r="A39" s="74"/>
      <c r="B39" s="86" t="s">
        <v>129</v>
      </c>
      <c r="C39" s="87" t="s">
        <v>62</v>
      </c>
      <c r="D39" s="88" t="s">
        <v>147</v>
      </c>
      <c r="E39" s="89">
        <f ca="1" t="shared" si="1"/>
        <v>7.6102924</v>
      </c>
      <c r="F39" s="90"/>
      <c r="G39" s="57">
        <f>1.4-0.24*2</f>
        <v>0.92</v>
      </c>
    </row>
    <row r="40" s="57" customFormat="1" customHeight="1" spans="1:6">
      <c r="A40" s="74"/>
      <c r="B40" s="86" t="s">
        <v>131</v>
      </c>
      <c r="C40" s="87" t="s">
        <v>62</v>
      </c>
      <c r="D40" s="88" t="s">
        <v>148</v>
      </c>
      <c r="E40" s="89">
        <f ca="1" t="shared" si="1"/>
        <v>1.76016</v>
      </c>
      <c r="F40" s="90"/>
    </row>
    <row r="41" s="57" customFormat="1" customHeight="1" spans="1:6">
      <c r="A41" s="74"/>
      <c r="B41" s="86" t="s">
        <v>133</v>
      </c>
      <c r="C41" s="87" t="s">
        <v>62</v>
      </c>
      <c r="D41" s="88" t="s">
        <v>149</v>
      </c>
      <c r="E41" s="89">
        <f ca="1" t="shared" si="1"/>
        <v>1.5312</v>
      </c>
      <c r="F41" s="90"/>
    </row>
    <row r="42" s="57" customFormat="1" customHeight="1" spans="1:6">
      <c r="A42" s="74"/>
      <c r="B42" s="86" t="s">
        <v>135</v>
      </c>
      <c r="C42" s="87" t="s">
        <v>62</v>
      </c>
      <c r="D42" s="88" t="s">
        <v>150</v>
      </c>
      <c r="E42" s="89">
        <f ca="1" t="shared" si="1"/>
        <v>1.21824</v>
      </c>
      <c r="F42" s="90"/>
    </row>
    <row r="43" s="57" customFormat="1" customHeight="1" spans="1:6">
      <c r="A43" s="74">
        <v>11</v>
      </c>
      <c r="B43" s="86" t="s">
        <v>151</v>
      </c>
      <c r="C43" s="87" t="s">
        <v>60</v>
      </c>
      <c r="D43" s="88">
        <v>0</v>
      </c>
      <c r="E43" s="89">
        <f ca="1" t="shared" si="1"/>
        <v>0</v>
      </c>
      <c r="F43" s="90"/>
    </row>
    <row r="44" s="57" customFormat="1" customHeight="1" spans="1:6">
      <c r="A44" s="74">
        <v>12</v>
      </c>
      <c r="B44" s="86" t="s">
        <v>152</v>
      </c>
      <c r="C44" s="87" t="s">
        <v>153</v>
      </c>
      <c r="D44" s="88">
        <v>1</v>
      </c>
      <c r="E44" s="89">
        <f ca="1" t="shared" si="1"/>
        <v>1</v>
      </c>
      <c r="F44" s="90"/>
    </row>
    <row r="45" s="57" customFormat="1" customHeight="1" spans="1:6">
      <c r="A45" s="74">
        <v>13</v>
      </c>
      <c r="B45" s="86" t="s">
        <v>154</v>
      </c>
      <c r="C45" s="87" t="s">
        <v>60</v>
      </c>
      <c r="D45" s="88">
        <v>0</v>
      </c>
      <c r="E45" s="89">
        <f ca="1" t="shared" si="1"/>
        <v>0</v>
      </c>
      <c r="F45" s="90"/>
    </row>
    <row r="46" s="57" customFormat="1" customHeight="1" spans="1:6">
      <c r="A46" s="91" t="s">
        <v>155</v>
      </c>
      <c r="B46" s="92" t="s">
        <v>156</v>
      </c>
      <c r="C46" s="93"/>
      <c r="D46" s="94"/>
      <c r="E46" s="95"/>
      <c r="F46" s="100"/>
    </row>
    <row r="47" s="57" customFormat="1" customHeight="1" spans="1:8">
      <c r="A47" s="74">
        <v>1</v>
      </c>
      <c r="B47" s="86" t="s">
        <v>82</v>
      </c>
      <c r="C47" s="87" t="s">
        <v>62</v>
      </c>
      <c r="D47" s="88" t="s">
        <v>157</v>
      </c>
      <c r="E47" s="89">
        <f ca="1" t="shared" ref="E47:E61" si="2">EVALUATE(D47)</f>
        <v>29.721984</v>
      </c>
      <c r="F47" s="101"/>
      <c r="H47" s="57">
        <f>0.2+2.9+0.15+0.3</f>
        <v>3.55</v>
      </c>
    </row>
    <row r="48" s="57" customFormat="1" customHeight="1" spans="1:6">
      <c r="A48" s="74">
        <v>2</v>
      </c>
      <c r="B48" s="86" t="s">
        <v>83</v>
      </c>
      <c r="C48" s="87" t="s">
        <v>62</v>
      </c>
      <c r="D48" s="88" t="s">
        <v>158</v>
      </c>
      <c r="E48" s="89">
        <f ca="1" t="shared" si="2"/>
        <v>118.887936</v>
      </c>
      <c r="F48" s="90"/>
    </row>
    <row r="49" s="57" customFormat="1" customHeight="1" spans="1:8">
      <c r="A49" s="74">
        <v>3</v>
      </c>
      <c r="B49" s="86" t="s">
        <v>84</v>
      </c>
      <c r="C49" s="87" t="s">
        <v>62</v>
      </c>
      <c r="D49" s="88" t="s">
        <v>159</v>
      </c>
      <c r="E49" s="89">
        <f ca="1" t="shared" si="2"/>
        <v>42.63492</v>
      </c>
      <c r="F49" s="90"/>
      <c r="H49" s="57">
        <f>3.8*2</f>
        <v>7.6</v>
      </c>
    </row>
    <row r="50" s="57" customFormat="1" customHeight="1" spans="1:6">
      <c r="A50" s="74">
        <v>4</v>
      </c>
      <c r="B50" s="86" t="s">
        <v>126</v>
      </c>
      <c r="C50" s="87" t="s">
        <v>62</v>
      </c>
      <c r="D50" s="88" t="s">
        <v>160</v>
      </c>
      <c r="E50" s="89">
        <f ca="1" t="shared" si="2"/>
        <v>11.6055342</v>
      </c>
      <c r="F50" s="90"/>
    </row>
    <row r="51" s="57" customFormat="1" customHeight="1" spans="1:6">
      <c r="A51" s="74">
        <v>5</v>
      </c>
      <c r="B51" s="86" t="s">
        <v>128</v>
      </c>
      <c r="C51" s="87" t="s">
        <v>62</v>
      </c>
      <c r="D51" s="88">
        <f ca="1">E52+E53+E54+E55+E56</f>
        <v>17.6669275</v>
      </c>
      <c r="E51" s="89">
        <f ca="1" t="shared" si="2"/>
        <v>17.6669275</v>
      </c>
      <c r="F51" s="90"/>
    </row>
    <row r="52" s="57" customFormat="1" customHeight="1" spans="1:8">
      <c r="A52" s="74"/>
      <c r="B52" s="86" t="s">
        <v>161</v>
      </c>
      <c r="C52" s="87" t="s">
        <v>62</v>
      </c>
      <c r="D52" s="88" t="s">
        <v>162</v>
      </c>
      <c r="E52" s="89">
        <f ca="1" t="shared" si="2"/>
        <v>6.6234375</v>
      </c>
      <c r="F52" s="90"/>
      <c r="G52" s="57">
        <f>7.5</f>
        <v>7.5</v>
      </c>
      <c r="H52" s="57">
        <f>7.5-0.48</f>
        <v>7.02</v>
      </c>
    </row>
    <row r="53" s="57" customFormat="1" customHeight="1" spans="1:8">
      <c r="A53" s="74"/>
      <c r="B53" s="86" t="s">
        <v>163</v>
      </c>
      <c r="C53" s="87" t="s">
        <v>62</v>
      </c>
      <c r="D53" s="88" t="s">
        <v>164</v>
      </c>
      <c r="E53" s="89">
        <f ca="1" t="shared" si="2"/>
        <v>8.83125</v>
      </c>
      <c r="F53" s="90"/>
      <c r="G53" s="57">
        <f>G52/2</f>
        <v>3.75</v>
      </c>
      <c r="H53" s="57">
        <f>H52/2</f>
        <v>3.51</v>
      </c>
    </row>
    <row r="54" s="57" customFormat="1" customHeight="1" spans="1:6">
      <c r="A54" s="74"/>
      <c r="B54" s="86" t="s">
        <v>165</v>
      </c>
      <c r="C54" s="87" t="s">
        <v>62</v>
      </c>
      <c r="D54" s="88" t="s">
        <v>166</v>
      </c>
      <c r="E54" s="89">
        <f ca="1" t="shared" si="2"/>
        <v>1.3167</v>
      </c>
      <c r="F54" s="90"/>
    </row>
    <row r="55" s="57" customFormat="1" customHeight="1" spans="1:7">
      <c r="A55" s="74"/>
      <c r="B55" s="86" t="s">
        <v>167</v>
      </c>
      <c r="C55" s="87" t="s">
        <v>62</v>
      </c>
      <c r="D55" s="88" t="s">
        <v>168</v>
      </c>
      <c r="E55" s="89">
        <f ca="1" t="shared" si="2"/>
        <v>0.35594</v>
      </c>
      <c r="F55" s="90"/>
      <c r="G55" s="57">
        <f>2.9-0.3</f>
        <v>2.6</v>
      </c>
    </row>
    <row r="56" s="57" customFormat="1" customHeight="1" spans="1:6">
      <c r="A56" s="74"/>
      <c r="B56" s="86" t="s">
        <v>169</v>
      </c>
      <c r="C56" s="87" t="s">
        <v>62</v>
      </c>
      <c r="D56" s="102" t="s">
        <v>170</v>
      </c>
      <c r="E56" s="89">
        <f ca="1" t="shared" si="2"/>
        <v>0.5396</v>
      </c>
      <c r="F56" s="90"/>
    </row>
    <row r="57" s="57" customFormat="1" customHeight="1" spans="1:6">
      <c r="A57" s="74">
        <v>6</v>
      </c>
      <c r="B57" s="86" t="s">
        <v>89</v>
      </c>
      <c r="C57" s="87" t="s">
        <v>117</v>
      </c>
      <c r="D57" s="88">
        <f ca="1">E58+E59+E60</f>
        <v>59.205614</v>
      </c>
      <c r="E57" s="89">
        <f ca="1" t="shared" si="2"/>
        <v>59.205614</v>
      </c>
      <c r="F57" s="90"/>
    </row>
    <row r="58" s="57" customFormat="1" customHeight="1" spans="1:6">
      <c r="A58" s="74"/>
      <c r="B58" s="86" t="s">
        <v>161</v>
      </c>
      <c r="C58" s="87" t="s">
        <v>117</v>
      </c>
      <c r="D58" s="88" t="s">
        <v>171</v>
      </c>
      <c r="E58" s="89">
        <f ca="1" t="shared" si="2"/>
        <v>42.217614</v>
      </c>
      <c r="F58" s="90"/>
    </row>
    <row r="59" s="57" customFormat="1" customHeight="1" spans="1:6">
      <c r="A59" s="74"/>
      <c r="B59" s="86" t="s">
        <v>165</v>
      </c>
      <c r="C59" s="87" t="s">
        <v>117</v>
      </c>
      <c r="D59" s="88" t="s">
        <v>172</v>
      </c>
      <c r="E59" s="89">
        <f ca="1" t="shared" si="2"/>
        <v>13.14</v>
      </c>
      <c r="F59" s="90"/>
    </row>
    <row r="60" s="57" customFormat="1" customHeight="1" spans="1:8">
      <c r="A60" s="74"/>
      <c r="B60" s="86" t="s">
        <v>167</v>
      </c>
      <c r="C60" s="87" t="s">
        <v>117</v>
      </c>
      <c r="D60" s="88" t="s">
        <v>173</v>
      </c>
      <c r="E60" s="89">
        <f ca="1" t="shared" si="2"/>
        <v>3.848</v>
      </c>
      <c r="F60" s="90"/>
      <c r="H60" s="57">
        <f>1/0.15</f>
        <v>6.66666666666667</v>
      </c>
    </row>
    <row r="61" s="57" customFormat="1" customHeight="1" spans="1:6">
      <c r="A61" s="74">
        <v>7</v>
      </c>
      <c r="B61" s="86" t="s">
        <v>86</v>
      </c>
      <c r="C61" s="87" t="s">
        <v>60</v>
      </c>
      <c r="D61" s="88" t="s">
        <v>174</v>
      </c>
      <c r="E61" s="98">
        <f ca="1" t="shared" si="2"/>
        <v>0.63871536</v>
      </c>
      <c r="F61" s="90"/>
    </row>
    <row r="62" s="57" customFormat="1" customHeight="1" spans="1:6">
      <c r="A62" s="74">
        <v>8</v>
      </c>
      <c r="B62" s="86" t="s">
        <v>116</v>
      </c>
      <c r="C62" s="87" t="s">
        <v>117</v>
      </c>
      <c r="D62" s="88" t="s">
        <v>175</v>
      </c>
      <c r="E62" s="89">
        <f ca="1" t="shared" ref="E62:E85" si="3">EVALUATE(D62)</f>
        <v>103.43096</v>
      </c>
      <c r="F62" s="90"/>
    </row>
    <row r="63" s="57" customFormat="1" customHeight="1" spans="1:6">
      <c r="A63" s="74">
        <v>9</v>
      </c>
      <c r="B63" s="86" t="s">
        <v>143</v>
      </c>
      <c r="C63" s="87" t="s">
        <v>117</v>
      </c>
      <c r="D63" s="88" t="s">
        <v>176</v>
      </c>
      <c r="E63" s="89">
        <f ca="1" t="shared" si="3"/>
        <v>32.696</v>
      </c>
      <c r="F63" s="90"/>
    </row>
    <row r="64" ht="24" spans="1:7">
      <c r="A64" s="74">
        <v>10</v>
      </c>
      <c r="B64" s="86" t="s">
        <v>110</v>
      </c>
      <c r="C64" s="87" t="s">
        <v>62</v>
      </c>
      <c r="D64" s="88" t="s">
        <v>177</v>
      </c>
      <c r="E64" s="89">
        <f ca="1" t="shared" si="3"/>
        <v>17.7246498</v>
      </c>
      <c r="F64" s="103" t="s">
        <v>178</v>
      </c>
      <c r="G64" s="65">
        <f>12*19+1*142+99*36+1*520+2*399+2*199+1314*1+54*9</f>
        <v>7450</v>
      </c>
    </row>
    <row r="65" customHeight="1" spans="1:8">
      <c r="A65" s="74">
        <v>11</v>
      </c>
      <c r="B65" s="86" t="s">
        <v>151</v>
      </c>
      <c r="C65" s="87" t="s">
        <v>60</v>
      </c>
      <c r="D65" s="88">
        <v>0</v>
      </c>
      <c r="E65" s="89">
        <f ca="1" t="shared" si="3"/>
        <v>0</v>
      </c>
      <c r="F65" s="90"/>
      <c r="H65" s="65">
        <f>1.1-0.48</f>
        <v>0.62</v>
      </c>
    </row>
    <row r="66" customHeight="1" spans="1:6">
      <c r="A66" s="74">
        <v>12</v>
      </c>
      <c r="B66" s="86" t="s">
        <v>152</v>
      </c>
      <c r="C66" s="87" t="s">
        <v>153</v>
      </c>
      <c r="D66" s="88">
        <v>1</v>
      </c>
      <c r="E66" s="89">
        <f ca="1" t="shared" si="3"/>
        <v>1</v>
      </c>
      <c r="F66" s="101"/>
    </row>
    <row r="67" customHeight="1" spans="1:6">
      <c r="A67" s="74">
        <v>13</v>
      </c>
      <c r="B67" s="86" t="s">
        <v>119</v>
      </c>
      <c r="C67" s="87" t="s">
        <v>60</v>
      </c>
      <c r="D67" s="88">
        <v>0</v>
      </c>
      <c r="E67" s="89">
        <f ca="1" t="shared" si="3"/>
        <v>0</v>
      </c>
      <c r="F67" s="90"/>
    </row>
    <row r="68" customHeight="1" spans="1:6">
      <c r="A68" s="91" t="s">
        <v>179</v>
      </c>
      <c r="B68" s="92" t="s">
        <v>180</v>
      </c>
      <c r="C68" s="93" t="s">
        <v>181</v>
      </c>
      <c r="D68" s="94"/>
      <c r="E68" s="95"/>
      <c r="F68" s="96"/>
    </row>
    <row r="69" ht="24" spans="1:6">
      <c r="A69" s="74">
        <v>1</v>
      </c>
      <c r="B69" s="86" t="s">
        <v>182</v>
      </c>
      <c r="C69" s="87" t="s">
        <v>62</v>
      </c>
      <c r="D69" s="88" t="s">
        <v>183</v>
      </c>
      <c r="E69" s="89">
        <f ca="1" t="shared" si="3"/>
        <v>4.3286875</v>
      </c>
      <c r="F69" s="90" t="s">
        <v>184</v>
      </c>
    </row>
    <row r="70" ht="24" spans="1:6">
      <c r="A70" s="74">
        <v>2</v>
      </c>
      <c r="B70" s="86" t="s">
        <v>185</v>
      </c>
      <c r="C70" s="87" t="s">
        <v>62</v>
      </c>
      <c r="D70" s="88" t="s">
        <v>186</v>
      </c>
      <c r="E70" s="89">
        <f ca="1" t="shared" si="3"/>
        <v>8.657375</v>
      </c>
      <c r="F70" s="90"/>
    </row>
    <row r="71" customHeight="1" spans="1:6">
      <c r="A71" s="74">
        <v>3</v>
      </c>
      <c r="B71" s="86" t="s">
        <v>154</v>
      </c>
      <c r="C71" s="87" t="s">
        <v>60</v>
      </c>
      <c r="D71" s="88">
        <v>0</v>
      </c>
      <c r="E71" s="89">
        <f ca="1" t="shared" si="3"/>
        <v>0</v>
      </c>
      <c r="F71" s="90"/>
    </row>
    <row r="72" customHeight="1" spans="1:6">
      <c r="A72" s="91" t="s">
        <v>187</v>
      </c>
      <c r="B72" s="92" t="s">
        <v>188</v>
      </c>
      <c r="C72" s="93" t="s">
        <v>189</v>
      </c>
      <c r="D72" s="94">
        <v>0</v>
      </c>
      <c r="E72" s="95">
        <f ca="1" t="shared" si="3"/>
        <v>0</v>
      </c>
      <c r="F72" s="96"/>
    </row>
    <row r="73" customHeight="1" spans="1:9">
      <c r="A73" s="91" t="s">
        <v>190</v>
      </c>
      <c r="B73" s="92" t="s">
        <v>191</v>
      </c>
      <c r="C73" s="93" t="s">
        <v>117</v>
      </c>
      <c r="D73" s="94" t="s">
        <v>192</v>
      </c>
      <c r="E73" s="95">
        <f ca="1" t="shared" si="3"/>
        <v>41.375466</v>
      </c>
      <c r="F73" s="96"/>
      <c r="G73" s="65">
        <f>3.75*2</f>
        <v>7.5</v>
      </c>
      <c r="H73" s="65">
        <f>G73-0.24</f>
        <v>7.26</v>
      </c>
      <c r="I73" s="65">
        <f>H73/2</f>
        <v>3.63</v>
      </c>
    </row>
    <row r="74" customHeight="1" spans="1:6">
      <c r="A74" s="91" t="s">
        <v>193</v>
      </c>
      <c r="B74" s="92" t="s">
        <v>194</v>
      </c>
      <c r="C74" s="93" t="s">
        <v>181</v>
      </c>
      <c r="D74" s="94"/>
      <c r="E74" s="95"/>
      <c r="F74" s="96"/>
    </row>
    <row r="75" ht="24" spans="1:8">
      <c r="A75" s="74">
        <v>1</v>
      </c>
      <c r="B75" s="86" t="s">
        <v>82</v>
      </c>
      <c r="C75" s="87" t="s">
        <v>62</v>
      </c>
      <c r="D75" s="88" t="s">
        <v>195</v>
      </c>
      <c r="E75" s="89">
        <f ca="1" t="shared" si="3"/>
        <v>3.4884</v>
      </c>
      <c r="F75" s="90"/>
      <c r="G75" s="65">
        <v>10</v>
      </c>
      <c r="H75" s="65">
        <v>9.9</v>
      </c>
    </row>
    <row r="76" customHeight="1" spans="1:6">
      <c r="A76" s="74">
        <v>2</v>
      </c>
      <c r="B76" s="86" t="s">
        <v>83</v>
      </c>
      <c r="C76" s="87" t="s">
        <v>62</v>
      </c>
      <c r="D76" s="88">
        <v>0</v>
      </c>
      <c r="E76" s="89">
        <f ca="1" t="shared" si="3"/>
        <v>0</v>
      </c>
      <c r="F76" s="90"/>
    </row>
    <row r="77" customHeight="1" spans="1:6">
      <c r="A77" s="74">
        <v>3</v>
      </c>
      <c r="B77" s="86" t="s">
        <v>84</v>
      </c>
      <c r="C77" s="87" t="s">
        <v>62</v>
      </c>
      <c r="D77" s="88">
        <v>0</v>
      </c>
      <c r="E77" s="89">
        <f ca="1" t="shared" si="3"/>
        <v>0</v>
      </c>
      <c r="F77" s="90"/>
    </row>
    <row r="78" ht="24" spans="1:8">
      <c r="A78" s="74">
        <v>4</v>
      </c>
      <c r="B78" s="86" t="s">
        <v>196</v>
      </c>
      <c r="C78" s="87" t="s">
        <v>62</v>
      </c>
      <c r="D78" s="88" t="s">
        <v>197</v>
      </c>
      <c r="E78" s="89">
        <f ca="1" t="shared" si="3"/>
        <v>16.962928</v>
      </c>
      <c r="F78" s="90"/>
      <c r="H78" s="65">
        <f>(10.48+9.9+0.48)*2-2-1</f>
        <v>38.72</v>
      </c>
    </row>
    <row r="79" ht="24" spans="1:8">
      <c r="A79" s="74">
        <v>5</v>
      </c>
      <c r="B79" s="86" t="s">
        <v>198</v>
      </c>
      <c r="C79" s="87" t="s">
        <v>62</v>
      </c>
      <c r="D79" s="88" t="s">
        <v>195</v>
      </c>
      <c r="E79" s="89">
        <f ca="1" t="shared" si="3"/>
        <v>3.4884</v>
      </c>
      <c r="F79" s="90"/>
      <c r="G79" s="65">
        <f>(10.48+9.9)*2-2</f>
        <v>38.76</v>
      </c>
      <c r="H79" s="65">
        <f>9.5+9.6*2+3.3+3.2</f>
        <v>35.2</v>
      </c>
    </row>
    <row r="80" customHeight="1" spans="1:8">
      <c r="A80" s="74">
        <v>6</v>
      </c>
      <c r="B80" s="86" t="s">
        <v>86</v>
      </c>
      <c r="C80" s="87" t="s">
        <v>60</v>
      </c>
      <c r="D80" s="88" t="s">
        <v>199</v>
      </c>
      <c r="E80" s="98">
        <f ca="1" t="shared" si="3"/>
        <v>0.1835328</v>
      </c>
      <c r="F80" s="90"/>
      <c r="G80" s="65">
        <f>G79/0.15</f>
        <v>258.4</v>
      </c>
      <c r="H80" s="65">
        <f>(0.3-0.02*2+0.3-0.02*2)*2+11.9*0.008+8*0.008</f>
        <v>1.1992</v>
      </c>
    </row>
    <row r="81" ht="40.5" spans="1:6">
      <c r="A81" s="74">
        <v>7</v>
      </c>
      <c r="B81" s="86" t="s">
        <v>200</v>
      </c>
      <c r="C81" s="104" t="s">
        <v>117</v>
      </c>
      <c r="D81" s="105" t="s">
        <v>201</v>
      </c>
      <c r="E81" s="89">
        <f ca="1" t="shared" si="3"/>
        <v>150.7968</v>
      </c>
      <c r="F81" s="90"/>
    </row>
    <row r="82" ht="40.5" spans="1:6">
      <c r="A82" s="74">
        <v>8</v>
      </c>
      <c r="B82" s="86" t="s">
        <v>116</v>
      </c>
      <c r="C82" s="104" t="s">
        <v>117</v>
      </c>
      <c r="D82" s="105" t="s">
        <v>201</v>
      </c>
      <c r="E82" s="89">
        <f ca="1" t="shared" si="3"/>
        <v>150.7968</v>
      </c>
      <c r="F82" s="90"/>
    </row>
    <row r="83" customHeight="1" spans="1:6">
      <c r="A83" s="74">
        <v>9</v>
      </c>
      <c r="B83" s="86" t="s">
        <v>154</v>
      </c>
      <c r="C83" s="87" t="s">
        <v>60</v>
      </c>
      <c r="D83" s="88">
        <v>0</v>
      </c>
      <c r="E83" s="89">
        <f ca="1" t="shared" si="3"/>
        <v>0</v>
      </c>
      <c r="F83" s="90"/>
    </row>
    <row r="84" customHeight="1" spans="1:6">
      <c r="A84" s="91" t="s">
        <v>202</v>
      </c>
      <c r="B84" s="92" t="s">
        <v>203</v>
      </c>
      <c r="C84" s="93" t="s">
        <v>153</v>
      </c>
      <c r="D84" s="94">
        <v>1</v>
      </c>
      <c r="E84" s="95">
        <f ca="1" t="shared" si="3"/>
        <v>1</v>
      </c>
      <c r="F84" s="96"/>
    </row>
    <row r="85" customHeight="1" spans="1:6">
      <c r="A85" s="91" t="s">
        <v>204</v>
      </c>
      <c r="B85" s="92" t="s">
        <v>205</v>
      </c>
      <c r="C85" s="93" t="s">
        <v>153</v>
      </c>
      <c r="D85" s="94">
        <v>0</v>
      </c>
      <c r="E85" s="95">
        <f ca="1" t="shared" si="3"/>
        <v>0</v>
      </c>
      <c r="F85" s="96"/>
    </row>
    <row r="86" customHeight="1" spans="1:6">
      <c r="A86" s="80" t="s">
        <v>206</v>
      </c>
      <c r="B86" s="81" t="s">
        <v>207</v>
      </c>
      <c r="C86" s="82"/>
      <c r="D86" s="83"/>
      <c r="E86" s="84"/>
      <c r="F86" s="85"/>
    </row>
    <row r="87" customHeight="1" spans="1:6">
      <c r="A87" s="91" t="s">
        <v>107</v>
      </c>
      <c r="B87" s="92" t="s">
        <v>108</v>
      </c>
      <c r="C87" s="93" t="s">
        <v>122</v>
      </c>
      <c r="D87" s="94"/>
      <c r="E87" s="95"/>
      <c r="F87" s="96"/>
    </row>
    <row r="88" customHeight="1" spans="1:6">
      <c r="A88" s="74">
        <v>1</v>
      </c>
      <c r="B88" s="86" t="s">
        <v>82</v>
      </c>
      <c r="C88" s="87" t="s">
        <v>62</v>
      </c>
      <c r="D88" s="88" t="s">
        <v>208</v>
      </c>
      <c r="E88" s="89">
        <f ca="1" t="shared" ref="E86:E118" si="4">EVALUATE(D88)</f>
        <v>0.6</v>
      </c>
      <c r="F88" s="90"/>
    </row>
    <row r="89" customHeight="1" spans="1:6">
      <c r="A89" s="74">
        <v>2</v>
      </c>
      <c r="B89" s="86" t="s">
        <v>83</v>
      </c>
      <c r="C89" s="87" t="s">
        <v>62</v>
      </c>
      <c r="D89" s="88" t="s">
        <v>209</v>
      </c>
      <c r="E89" s="89">
        <f ca="1" t="shared" si="4"/>
        <v>1</v>
      </c>
      <c r="F89" s="90"/>
    </row>
    <row r="90" customHeight="1" spans="1:6">
      <c r="A90" s="74">
        <v>3</v>
      </c>
      <c r="B90" s="86" t="s">
        <v>84</v>
      </c>
      <c r="C90" s="87" t="s">
        <v>62</v>
      </c>
      <c r="D90" s="88">
        <v>0</v>
      </c>
      <c r="E90" s="89">
        <f ca="1" t="shared" si="4"/>
        <v>0</v>
      </c>
      <c r="F90" s="90"/>
    </row>
    <row r="91" customHeight="1" spans="1:6">
      <c r="A91" s="74">
        <v>4</v>
      </c>
      <c r="B91" s="86" t="s">
        <v>110</v>
      </c>
      <c r="C91" s="87" t="s">
        <v>62</v>
      </c>
      <c r="D91" s="88" t="s">
        <v>210</v>
      </c>
      <c r="E91" s="89">
        <f ca="1" t="shared" si="4"/>
        <v>0.29624</v>
      </c>
      <c r="F91" s="90"/>
    </row>
    <row r="92" customHeight="1" spans="1:6">
      <c r="A92" s="74">
        <v>5</v>
      </c>
      <c r="B92" s="86" t="s">
        <v>112</v>
      </c>
      <c r="C92" s="87" t="s">
        <v>62</v>
      </c>
      <c r="D92" s="88" t="s">
        <v>211</v>
      </c>
      <c r="E92" s="89">
        <f ca="1" t="shared" si="4"/>
        <v>0.051875</v>
      </c>
      <c r="F92" s="90"/>
    </row>
    <row r="93" customHeight="1" spans="1:6">
      <c r="A93" s="74">
        <v>6</v>
      </c>
      <c r="B93" s="86" t="s">
        <v>114</v>
      </c>
      <c r="C93" s="87" t="s">
        <v>60</v>
      </c>
      <c r="D93" s="88">
        <v>0.01</v>
      </c>
      <c r="E93" s="89">
        <f ca="1" t="shared" si="4"/>
        <v>0.01</v>
      </c>
      <c r="F93" s="90"/>
    </row>
    <row r="94" customHeight="1" spans="1:6">
      <c r="A94" s="74">
        <v>7</v>
      </c>
      <c r="B94" s="86" t="s">
        <v>116</v>
      </c>
      <c r="C94" s="87" t="s">
        <v>117</v>
      </c>
      <c r="D94" s="88" t="s">
        <v>212</v>
      </c>
      <c r="E94" s="89">
        <f ca="1" t="shared" si="4"/>
        <v>5.152</v>
      </c>
      <c r="F94" s="90"/>
    </row>
    <row r="95" customHeight="1" spans="1:6">
      <c r="A95" s="74">
        <v>8</v>
      </c>
      <c r="B95" s="86" t="s">
        <v>154</v>
      </c>
      <c r="C95" s="87" t="s">
        <v>60</v>
      </c>
      <c r="D95" s="88">
        <v>0</v>
      </c>
      <c r="E95" s="89">
        <f ca="1" t="shared" si="4"/>
        <v>0</v>
      </c>
      <c r="F95" s="101"/>
    </row>
    <row r="96" customHeight="1" spans="1:6">
      <c r="A96" s="91" t="s">
        <v>120</v>
      </c>
      <c r="B96" s="92" t="s">
        <v>213</v>
      </c>
      <c r="C96" s="93" t="s">
        <v>122</v>
      </c>
      <c r="D96" s="94"/>
      <c r="E96" s="95"/>
      <c r="F96" s="100" t="s">
        <v>214</v>
      </c>
    </row>
    <row r="97" customHeight="1" spans="1:6">
      <c r="A97" s="74">
        <v>1</v>
      </c>
      <c r="B97" s="86" t="s">
        <v>82</v>
      </c>
      <c r="C97" s="87" t="s">
        <v>62</v>
      </c>
      <c r="D97" s="88" t="s">
        <v>215</v>
      </c>
      <c r="E97" s="89">
        <f ca="1" t="shared" si="4"/>
        <v>8.5722</v>
      </c>
      <c r="F97" s="90"/>
    </row>
    <row r="98" customHeight="1" spans="1:6">
      <c r="A98" s="74">
        <v>2</v>
      </c>
      <c r="B98" s="86" t="s">
        <v>83</v>
      </c>
      <c r="C98" s="87" t="s">
        <v>62</v>
      </c>
      <c r="D98" s="88" t="s">
        <v>216</v>
      </c>
      <c r="E98" s="89">
        <f ca="1" t="shared" si="4"/>
        <v>34.2888</v>
      </c>
      <c r="F98" s="90"/>
    </row>
    <row r="99" customHeight="1" spans="1:6">
      <c r="A99" s="74">
        <v>3</v>
      </c>
      <c r="B99" s="86" t="s">
        <v>84</v>
      </c>
      <c r="C99" s="87" t="s">
        <v>62</v>
      </c>
      <c r="D99" s="88" t="s">
        <v>217</v>
      </c>
      <c r="E99" s="89">
        <f ca="1" t="shared" si="4"/>
        <v>21.32374</v>
      </c>
      <c r="F99" s="90"/>
    </row>
    <row r="100" customHeight="1" spans="1:8">
      <c r="A100" s="74">
        <v>4</v>
      </c>
      <c r="B100" s="86" t="s">
        <v>126</v>
      </c>
      <c r="C100" s="87" t="s">
        <v>62</v>
      </c>
      <c r="D100" s="88" t="s">
        <v>218</v>
      </c>
      <c r="E100" s="89">
        <f ca="1" t="shared" si="4"/>
        <v>1.9897552</v>
      </c>
      <c r="F100" s="90"/>
      <c r="H100" s="65">
        <f>(3.8-0.24)/2</f>
        <v>1.78</v>
      </c>
    </row>
    <row r="101" customHeight="1" spans="1:6">
      <c r="A101" s="74">
        <v>5</v>
      </c>
      <c r="B101" s="86" t="s">
        <v>128</v>
      </c>
      <c r="C101" s="87" t="s">
        <v>62</v>
      </c>
      <c r="D101" s="106" t="s">
        <v>219</v>
      </c>
      <c r="E101" s="89">
        <f ca="1" t="shared" si="4"/>
        <v>3.96739</v>
      </c>
      <c r="F101" s="90"/>
    </row>
    <row r="102" customHeight="1" spans="1:6">
      <c r="A102" s="74">
        <v>6</v>
      </c>
      <c r="B102" s="86" t="s">
        <v>89</v>
      </c>
      <c r="C102" s="87" t="s">
        <v>117</v>
      </c>
      <c r="D102" s="88" t="s">
        <v>220</v>
      </c>
      <c r="E102" s="89">
        <f ca="1" t="shared" si="4"/>
        <v>11.3354</v>
      </c>
      <c r="F102" s="90"/>
    </row>
    <row r="103" customHeight="1" spans="1:6">
      <c r="A103" s="74">
        <v>7</v>
      </c>
      <c r="B103" s="86" t="s">
        <v>86</v>
      </c>
      <c r="C103" s="87" t="s">
        <v>60</v>
      </c>
      <c r="D103" s="88" t="s">
        <v>221</v>
      </c>
      <c r="E103" s="89">
        <f ca="1" t="shared" si="4"/>
        <v>0.37311224</v>
      </c>
      <c r="F103" s="90"/>
    </row>
    <row r="104" customHeight="1" spans="1:7">
      <c r="A104" s="74">
        <v>8</v>
      </c>
      <c r="B104" s="86" t="s">
        <v>116</v>
      </c>
      <c r="C104" s="87" t="s">
        <v>117</v>
      </c>
      <c r="D104" s="88" t="s">
        <v>222</v>
      </c>
      <c r="E104" s="89">
        <f ca="1" t="shared" si="4"/>
        <v>35.08636</v>
      </c>
      <c r="F104" s="90"/>
      <c r="G104" s="65">
        <f>3.8-0.24*2</f>
        <v>3.32</v>
      </c>
    </row>
    <row r="105" customHeight="1" spans="1:6">
      <c r="A105" s="74">
        <v>9</v>
      </c>
      <c r="B105" s="86" t="s">
        <v>143</v>
      </c>
      <c r="C105" s="87" t="s">
        <v>117</v>
      </c>
      <c r="D105" s="99" t="s">
        <v>223</v>
      </c>
      <c r="E105" s="89">
        <f ca="1" t="shared" si="4"/>
        <v>9.5456</v>
      </c>
      <c r="F105" s="90"/>
    </row>
    <row r="106" customHeight="1" spans="1:6">
      <c r="A106" s="74">
        <v>10</v>
      </c>
      <c r="B106" s="86" t="s">
        <v>110</v>
      </c>
      <c r="C106" s="87" t="s">
        <v>62</v>
      </c>
      <c r="D106" s="107" t="s">
        <v>224</v>
      </c>
      <c r="E106" s="89">
        <f ca="1" t="shared" si="4"/>
        <v>6.8386688</v>
      </c>
      <c r="F106" s="90"/>
    </row>
    <row r="107" customHeight="1" spans="1:6">
      <c r="A107" s="74">
        <v>11</v>
      </c>
      <c r="B107" s="86" t="s">
        <v>151</v>
      </c>
      <c r="C107" s="87" t="s">
        <v>60</v>
      </c>
      <c r="D107" s="88">
        <v>0</v>
      </c>
      <c r="E107" s="89">
        <f ca="1" t="shared" si="4"/>
        <v>0</v>
      </c>
      <c r="F107" s="90"/>
    </row>
    <row r="108" customHeight="1" spans="1:6">
      <c r="A108" s="74">
        <v>12</v>
      </c>
      <c r="B108" s="86" t="s">
        <v>152</v>
      </c>
      <c r="C108" s="87" t="s">
        <v>153</v>
      </c>
      <c r="D108" s="88">
        <v>1</v>
      </c>
      <c r="E108" s="89">
        <f ca="1" t="shared" si="4"/>
        <v>1</v>
      </c>
      <c r="F108" s="90"/>
    </row>
    <row r="109" customHeight="1" spans="1:6">
      <c r="A109" s="74">
        <v>13</v>
      </c>
      <c r="B109" s="86" t="s">
        <v>154</v>
      </c>
      <c r="C109" s="87" t="s">
        <v>60</v>
      </c>
      <c r="D109" s="88">
        <v>0</v>
      </c>
      <c r="E109" s="89">
        <f ca="1" t="shared" si="4"/>
        <v>0</v>
      </c>
      <c r="F109" s="90"/>
    </row>
    <row r="110" customHeight="1" spans="1:6">
      <c r="A110" s="74" t="s">
        <v>225</v>
      </c>
      <c r="B110" s="86" t="s">
        <v>226</v>
      </c>
      <c r="C110" s="87" t="s">
        <v>181</v>
      </c>
      <c r="D110" s="88">
        <v>17.7</v>
      </c>
      <c r="E110" s="89">
        <f ca="1" t="shared" si="4"/>
        <v>17.7</v>
      </c>
      <c r="F110" s="90" t="s">
        <v>227</v>
      </c>
    </row>
    <row r="111" customHeight="1" spans="1:6">
      <c r="A111" s="91" t="s">
        <v>155</v>
      </c>
      <c r="B111" s="92" t="s">
        <v>191</v>
      </c>
      <c r="C111" s="93" t="s">
        <v>117</v>
      </c>
      <c r="D111" s="94">
        <v>0</v>
      </c>
      <c r="E111" s="95">
        <f ca="1" t="shared" si="4"/>
        <v>0</v>
      </c>
      <c r="F111" s="96"/>
    </row>
    <row r="112" customHeight="1" spans="1:6">
      <c r="A112" s="91" t="s">
        <v>179</v>
      </c>
      <c r="B112" s="92" t="s">
        <v>180</v>
      </c>
      <c r="C112" s="93" t="s">
        <v>181</v>
      </c>
      <c r="D112" s="94"/>
      <c r="E112" s="95"/>
      <c r="F112" s="96"/>
    </row>
    <row r="113" customHeight="1" spans="1:6">
      <c r="A113" s="74">
        <v>1</v>
      </c>
      <c r="B113" s="86" t="s">
        <v>182</v>
      </c>
      <c r="C113" s="87" t="s">
        <v>62</v>
      </c>
      <c r="D113" s="88">
        <v>0</v>
      </c>
      <c r="E113" s="89">
        <f ca="1" t="shared" si="4"/>
        <v>0</v>
      </c>
      <c r="F113" s="90"/>
    </row>
    <row r="114" customHeight="1" spans="1:6">
      <c r="A114" s="74">
        <v>2</v>
      </c>
      <c r="B114" s="86" t="s">
        <v>185</v>
      </c>
      <c r="C114" s="87" t="s">
        <v>62</v>
      </c>
      <c r="D114" s="88">
        <v>0</v>
      </c>
      <c r="E114" s="89">
        <f ca="1" t="shared" si="4"/>
        <v>0</v>
      </c>
      <c r="F114" s="90"/>
    </row>
    <row r="115" customHeight="1" spans="1:6">
      <c r="A115" s="74">
        <v>3</v>
      </c>
      <c r="B115" s="86" t="s">
        <v>154</v>
      </c>
      <c r="C115" s="87" t="s">
        <v>60</v>
      </c>
      <c r="D115" s="88">
        <v>0</v>
      </c>
      <c r="E115" s="89">
        <f ca="1" t="shared" si="4"/>
        <v>0</v>
      </c>
      <c r="F115" s="90"/>
    </row>
    <row r="116" customHeight="1" spans="1:6">
      <c r="A116" s="91" t="s">
        <v>187</v>
      </c>
      <c r="B116" s="92" t="s">
        <v>194</v>
      </c>
      <c r="C116" s="93" t="s">
        <v>181</v>
      </c>
      <c r="D116" s="94"/>
      <c r="E116" s="95"/>
      <c r="F116" s="96"/>
    </row>
    <row r="117" customHeight="1" spans="1:6">
      <c r="A117" s="74">
        <v>1</v>
      </c>
      <c r="B117" s="86" t="s">
        <v>82</v>
      </c>
      <c r="C117" s="87" t="s">
        <v>62</v>
      </c>
      <c r="D117" s="88">
        <v>0</v>
      </c>
      <c r="E117" s="89">
        <f ca="1" t="shared" si="4"/>
        <v>0</v>
      </c>
      <c r="F117" s="90"/>
    </row>
    <row r="118" customHeight="1" spans="1:6">
      <c r="A118" s="74">
        <v>2</v>
      </c>
      <c r="B118" s="86" t="s">
        <v>83</v>
      </c>
      <c r="C118" s="87" t="s">
        <v>62</v>
      </c>
      <c r="D118" s="88">
        <v>0</v>
      </c>
      <c r="E118" s="89">
        <f ca="1" t="shared" si="4"/>
        <v>0</v>
      </c>
      <c r="F118" s="101"/>
    </row>
    <row r="119" customHeight="1" spans="1:6">
      <c r="A119" s="74">
        <v>3</v>
      </c>
      <c r="B119" s="86" t="s">
        <v>84</v>
      </c>
      <c r="C119" s="87" t="s">
        <v>62</v>
      </c>
      <c r="D119" s="88">
        <v>0</v>
      </c>
      <c r="E119" s="89">
        <f ca="1" t="shared" ref="E119:E142" si="5">EVALUATE(D119)</f>
        <v>0</v>
      </c>
      <c r="F119" s="90"/>
    </row>
    <row r="120" customHeight="1" spans="1:6">
      <c r="A120" s="74">
        <v>4</v>
      </c>
      <c r="B120" s="86" t="s">
        <v>196</v>
      </c>
      <c r="C120" s="87" t="s">
        <v>62</v>
      </c>
      <c r="D120" s="88">
        <v>0</v>
      </c>
      <c r="E120" s="89">
        <f ca="1" t="shared" si="5"/>
        <v>0</v>
      </c>
      <c r="F120" s="90"/>
    </row>
    <row r="121" customHeight="1" spans="1:6">
      <c r="A121" s="74">
        <v>5</v>
      </c>
      <c r="B121" s="86" t="s">
        <v>198</v>
      </c>
      <c r="C121" s="87" t="s">
        <v>62</v>
      </c>
      <c r="D121" s="88">
        <v>0</v>
      </c>
      <c r="E121" s="89">
        <f ca="1" t="shared" si="5"/>
        <v>0</v>
      </c>
      <c r="F121" s="90"/>
    </row>
    <row r="122" customHeight="1" spans="1:6">
      <c r="A122" s="74">
        <v>6</v>
      </c>
      <c r="B122" s="86" t="s">
        <v>86</v>
      </c>
      <c r="C122" s="87" t="s">
        <v>60</v>
      </c>
      <c r="D122" s="88">
        <v>0</v>
      </c>
      <c r="E122" s="89">
        <f ca="1" t="shared" si="5"/>
        <v>0</v>
      </c>
      <c r="F122" s="101"/>
    </row>
    <row r="123" customHeight="1" spans="1:6">
      <c r="A123" s="74">
        <v>7</v>
      </c>
      <c r="B123" s="86" t="s">
        <v>200</v>
      </c>
      <c r="C123" s="87" t="s">
        <v>117</v>
      </c>
      <c r="D123" s="88">
        <v>0</v>
      </c>
      <c r="E123" s="89">
        <f ca="1" t="shared" si="5"/>
        <v>0</v>
      </c>
      <c r="F123" s="90"/>
    </row>
    <row r="124" customHeight="1" spans="1:6">
      <c r="A124" s="74">
        <v>8</v>
      </c>
      <c r="B124" s="86" t="s">
        <v>116</v>
      </c>
      <c r="C124" s="87" t="s">
        <v>117</v>
      </c>
      <c r="D124" s="88">
        <v>0</v>
      </c>
      <c r="E124" s="89">
        <f ca="1" t="shared" si="5"/>
        <v>0</v>
      </c>
      <c r="F124" s="101"/>
    </row>
    <row r="125" customHeight="1" spans="1:6">
      <c r="A125" s="74">
        <v>9</v>
      </c>
      <c r="B125" s="86" t="s">
        <v>154</v>
      </c>
      <c r="C125" s="87" t="s">
        <v>60</v>
      </c>
      <c r="D125" s="88">
        <v>0</v>
      </c>
      <c r="E125" s="89">
        <f ca="1" t="shared" si="5"/>
        <v>0</v>
      </c>
      <c r="F125" s="90"/>
    </row>
    <row r="126" customHeight="1" spans="1:6">
      <c r="A126" s="91" t="s">
        <v>190</v>
      </c>
      <c r="B126" s="92" t="s">
        <v>203</v>
      </c>
      <c r="C126" s="93" t="s">
        <v>117</v>
      </c>
      <c r="D126" s="94">
        <v>0</v>
      </c>
      <c r="E126" s="95">
        <f ca="1" t="shared" si="5"/>
        <v>0</v>
      </c>
      <c r="F126" s="96"/>
    </row>
    <row r="127" customHeight="1" spans="1:6">
      <c r="A127" s="91" t="s">
        <v>193</v>
      </c>
      <c r="B127" s="92" t="s">
        <v>205</v>
      </c>
      <c r="C127" s="93" t="s">
        <v>153</v>
      </c>
      <c r="D127" s="94">
        <v>0</v>
      </c>
      <c r="E127" s="95">
        <f ca="1" t="shared" si="5"/>
        <v>0</v>
      </c>
      <c r="F127" s="96"/>
    </row>
    <row r="128" customHeight="1" spans="1:6">
      <c r="A128" s="80" t="s">
        <v>228</v>
      </c>
      <c r="B128" s="81" t="s">
        <v>229</v>
      </c>
      <c r="C128" s="82" t="s">
        <v>104</v>
      </c>
      <c r="D128" s="83"/>
      <c r="E128" s="84"/>
      <c r="F128" s="85"/>
    </row>
    <row r="129" customHeight="1" spans="1:6">
      <c r="A129" s="74">
        <v>1</v>
      </c>
      <c r="B129" s="86" t="s">
        <v>82</v>
      </c>
      <c r="C129" s="87" t="s">
        <v>62</v>
      </c>
      <c r="D129" s="88" t="s">
        <v>230</v>
      </c>
      <c r="E129" s="89">
        <f ca="1" t="shared" si="5"/>
        <v>21</v>
      </c>
      <c r="F129" s="101"/>
    </row>
    <row r="130" s="57" customFormat="1" customHeight="1" spans="1:6">
      <c r="A130" s="74">
        <v>2</v>
      </c>
      <c r="B130" s="86" t="s">
        <v>83</v>
      </c>
      <c r="C130" s="87" t="s">
        <v>62</v>
      </c>
      <c r="D130" s="88" t="s">
        <v>231</v>
      </c>
      <c r="E130" s="89">
        <f ca="1" t="shared" si="5"/>
        <v>3.255</v>
      </c>
      <c r="F130" s="101"/>
    </row>
    <row r="131" s="57" customFormat="1" customHeight="1" spans="1:6">
      <c r="A131" s="74">
        <v>3</v>
      </c>
      <c r="B131" s="86" t="s">
        <v>84</v>
      </c>
      <c r="C131" s="87" t="s">
        <v>62</v>
      </c>
      <c r="D131" s="108">
        <v>0</v>
      </c>
      <c r="E131" s="89">
        <f ca="1" t="shared" si="5"/>
        <v>0</v>
      </c>
      <c r="F131" s="90"/>
    </row>
    <row r="132" s="57" customFormat="1" customHeight="1" spans="1:6">
      <c r="A132" s="74">
        <v>4</v>
      </c>
      <c r="B132" s="86" t="s">
        <v>128</v>
      </c>
      <c r="C132" s="87" t="s">
        <v>62</v>
      </c>
      <c r="D132" s="88">
        <f ca="1">E133+E134+E135+E136+E137</f>
        <v>6.282987</v>
      </c>
      <c r="E132" s="89">
        <f ca="1" t="shared" si="5"/>
        <v>6.282987</v>
      </c>
      <c r="F132" s="90"/>
    </row>
    <row r="133" s="57" customFormat="1" customHeight="1" spans="1:6">
      <c r="A133" s="74"/>
      <c r="B133" s="86" t="s">
        <v>232</v>
      </c>
      <c r="C133" s="87"/>
      <c r="D133" s="88" t="s">
        <v>233</v>
      </c>
      <c r="E133" s="89">
        <f ca="1" t="shared" si="5"/>
        <v>1.2258</v>
      </c>
      <c r="F133" s="90"/>
    </row>
    <row r="134" s="57" customFormat="1" customHeight="1" spans="1:6">
      <c r="A134" s="74"/>
      <c r="B134" s="86" t="s">
        <v>234</v>
      </c>
      <c r="C134" s="87"/>
      <c r="D134" s="88" t="s">
        <v>235</v>
      </c>
      <c r="E134" s="89">
        <f ca="1" t="shared" si="5"/>
        <v>1.3338</v>
      </c>
      <c r="F134" s="90"/>
    </row>
    <row r="135" s="57" customFormat="1" customHeight="1" spans="1:8">
      <c r="A135" s="74"/>
      <c r="B135" s="86" t="s">
        <v>236</v>
      </c>
      <c r="C135" s="87"/>
      <c r="D135" s="88" t="s">
        <v>237</v>
      </c>
      <c r="E135" s="89">
        <f ca="1" t="shared" si="5"/>
        <v>1.21064</v>
      </c>
      <c r="F135" s="90"/>
      <c r="G135" s="57">
        <f>4.57-0.24*2</f>
        <v>4.09</v>
      </c>
      <c r="H135" s="57">
        <f>4.57+0.3*2</f>
        <v>5.17</v>
      </c>
    </row>
    <row r="136" s="57" customFormat="1" customHeight="1" spans="1:8">
      <c r="A136" s="74"/>
      <c r="B136" s="86" t="s">
        <v>238</v>
      </c>
      <c r="C136" s="87"/>
      <c r="D136" s="88" t="s">
        <v>239</v>
      </c>
      <c r="E136" s="89">
        <f ca="1" t="shared" si="5"/>
        <v>1.618727</v>
      </c>
      <c r="F136" s="90"/>
      <c r="G136" s="57">
        <f>3.44-0.24*2</f>
        <v>2.96</v>
      </c>
      <c r="H136" s="57">
        <f>3.44+0.3*2</f>
        <v>4.04</v>
      </c>
    </row>
    <row r="137" s="57" customFormat="1" ht="24" spans="1:6">
      <c r="A137" s="74"/>
      <c r="B137" s="86" t="s">
        <v>240</v>
      </c>
      <c r="C137" s="87"/>
      <c r="D137" s="88" t="s">
        <v>241</v>
      </c>
      <c r="E137" s="89">
        <f ca="1" t="shared" si="5"/>
        <v>0.89402</v>
      </c>
      <c r="F137" s="90"/>
    </row>
    <row r="138" s="57" customFormat="1" customHeight="1" spans="1:6">
      <c r="A138" s="74"/>
      <c r="B138" s="86"/>
      <c r="C138" s="87"/>
      <c r="D138" s="88"/>
      <c r="E138" s="89"/>
      <c r="F138" s="90"/>
    </row>
    <row r="139" s="57" customFormat="1" customHeight="1" spans="1:6">
      <c r="A139" s="74">
        <v>5</v>
      </c>
      <c r="B139" s="86" t="s">
        <v>110</v>
      </c>
      <c r="C139" s="87" t="s">
        <v>62</v>
      </c>
      <c r="D139" s="88" t="s">
        <v>242</v>
      </c>
      <c r="E139" s="89">
        <f ca="1" t="shared" ref="E139:E145" si="6">EVALUATE(D139)</f>
        <v>6.6168</v>
      </c>
      <c r="F139" s="90"/>
    </row>
    <row r="140" s="60" customFormat="1" customHeight="1" spans="1:6">
      <c r="A140" s="74">
        <v>6</v>
      </c>
      <c r="B140" s="86" t="s">
        <v>116</v>
      </c>
      <c r="C140" s="87" t="s">
        <v>117</v>
      </c>
      <c r="D140" s="109" t="s">
        <v>243</v>
      </c>
      <c r="E140" s="89">
        <f ca="1" t="shared" si="6"/>
        <v>55.14</v>
      </c>
      <c r="F140" s="110"/>
    </row>
    <row r="141" s="57" customFormat="1" customHeight="1" spans="1:7">
      <c r="A141" s="74">
        <v>7</v>
      </c>
      <c r="B141" s="86" t="s">
        <v>244</v>
      </c>
      <c r="C141" s="87" t="s">
        <v>117</v>
      </c>
      <c r="D141" s="88" t="s">
        <v>245</v>
      </c>
      <c r="E141" s="89">
        <f ca="1" t="shared" si="6"/>
        <v>0.75</v>
      </c>
      <c r="F141" s="90"/>
      <c r="G141" s="57">
        <f>5.17/0.15</f>
        <v>34.4666666666667</v>
      </c>
    </row>
    <row r="142" s="57" customFormat="1" ht="24" spans="1:9">
      <c r="A142" s="74">
        <v>8</v>
      </c>
      <c r="B142" s="86" t="s">
        <v>86</v>
      </c>
      <c r="C142" s="87" t="s">
        <v>60</v>
      </c>
      <c r="D142" s="88" t="s">
        <v>246</v>
      </c>
      <c r="E142" s="98">
        <f ca="1" t="shared" si="6"/>
        <v>0.41969353</v>
      </c>
      <c r="F142" s="90"/>
      <c r="G142" s="57">
        <f>4.04/0.15</f>
        <v>26.9333333333333</v>
      </c>
      <c r="H142" s="65">
        <f>(0.3-0.015*2+0.3-0.015*2)*2+11.9*0.006+8*0.006</f>
        <v>1.1994</v>
      </c>
      <c r="I142" s="57">
        <f>(4.57+3.44)*2/0.2</f>
        <v>80.1</v>
      </c>
    </row>
    <row r="143" ht="24" spans="1:6">
      <c r="A143" s="74">
        <v>9</v>
      </c>
      <c r="B143" s="86" t="s">
        <v>89</v>
      </c>
      <c r="C143" s="87" t="s">
        <v>117</v>
      </c>
      <c r="D143" s="88" t="s">
        <v>247</v>
      </c>
      <c r="E143" s="89">
        <f ca="1" t="shared" si="6"/>
        <v>27.59195</v>
      </c>
      <c r="F143" s="90"/>
    </row>
    <row r="144" customHeight="1" spans="1:6">
      <c r="A144" s="74">
        <v>10</v>
      </c>
      <c r="B144" s="86" t="s">
        <v>154</v>
      </c>
      <c r="C144" s="87" t="s">
        <v>60</v>
      </c>
      <c r="D144" s="88">
        <v>0</v>
      </c>
      <c r="E144" s="89">
        <f ca="1" t="shared" si="6"/>
        <v>0</v>
      </c>
      <c r="F144" s="90"/>
    </row>
    <row r="145" customHeight="1" spans="1:6">
      <c r="A145" s="74">
        <v>11</v>
      </c>
      <c r="B145" s="86" t="s">
        <v>248</v>
      </c>
      <c r="C145" s="87" t="s">
        <v>122</v>
      </c>
      <c r="D145" s="88">
        <v>1</v>
      </c>
      <c r="E145" s="89">
        <f ca="1" t="shared" si="6"/>
        <v>1</v>
      </c>
      <c r="F145" s="90"/>
    </row>
    <row r="146" customHeight="1" spans="1:6">
      <c r="A146" s="80" t="s">
        <v>249</v>
      </c>
      <c r="B146" s="81" t="s">
        <v>250</v>
      </c>
      <c r="C146" s="82"/>
      <c r="D146" s="83"/>
      <c r="E146" s="84"/>
      <c r="F146" s="85"/>
    </row>
    <row r="147" customHeight="1" spans="1:6">
      <c r="A147" s="74">
        <v>1</v>
      </c>
      <c r="B147" s="86" t="s">
        <v>251</v>
      </c>
      <c r="C147" s="87"/>
      <c r="D147" s="88">
        <v>0</v>
      </c>
      <c r="E147" s="89">
        <f ca="1">EVALUATE(D147)</f>
        <v>0</v>
      </c>
      <c r="F147" s="90"/>
    </row>
    <row r="148" customHeight="1" spans="1:6">
      <c r="A148" s="74">
        <v>2</v>
      </c>
      <c r="B148" s="86" t="s">
        <v>252</v>
      </c>
      <c r="C148" s="87" t="s">
        <v>62</v>
      </c>
      <c r="D148" s="88">
        <v>0</v>
      </c>
      <c r="E148" s="89">
        <f ca="1">EVALUATE(D148)</f>
        <v>0</v>
      </c>
      <c r="F148" s="90"/>
    </row>
    <row r="149" customFormat="1" customHeight="1" spans="1:6">
      <c r="A149" s="80" t="s">
        <v>253</v>
      </c>
      <c r="B149" s="81" t="s">
        <v>254</v>
      </c>
      <c r="C149" s="82"/>
      <c r="D149" s="83"/>
      <c r="E149" s="84"/>
      <c r="F149" s="85"/>
    </row>
    <row r="150" customFormat="1" customHeight="1" spans="1:6">
      <c r="A150" s="74">
        <v>1</v>
      </c>
      <c r="B150" s="86" t="s">
        <v>255</v>
      </c>
      <c r="C150" s="87" t="s">
        <v>181</v>
      </c>
      <c r="D150" s="88">
        <v>0</v>
      </c>
      <c r="E150" s="89">
        <f ca="1">EVALUATE(D150)</f>
        <v>0</v>
      </c>
      <c r="F150" s="90"/>
    </row>
    <row r="151" customFormat="1" customHeight="1" spans="1:6">
      <c r="A151" s="74">
        <v>2</v>
      </c>
      <c r="B151" s="86" t="s">
        <v>256</v>
      </c>
      <c r="C151" s="87" t="s">
        <v>181</v>
      </c>
      <c r="D151" s="88">
        <v>0</v>
      </c>
      <c r="E151" s="89">
        <f ca="1">EVALUATE(D151)</f>
        <v>0</v>
      </c>
      <c r="F151" s="90"/>
    </row>
    <row r="152" customFormat="1" ht="13.5" spans="1:6">
      <c r="A152" s="74">
        <v>3</v>
      </c>
      <c r="B152" s="86" t="s">
        <v>82</v>
      </c>
      <c r="C152" s="87" t="s">
        <v>62</v>
      </c>
      <c r="D152" s="111" t="s">
        <v>257</v>
      </c>
      <c r="E152" s="89">
        <f ca="1">EVALUATE(D152)</f>
        <v>2499.024</v>
      </c>
      <c r="F152" s="90" t="s">
        <v>258</v>
      </c>
    </row>
    <row r="153" customFormat="1" ht="13.5" spans="1:6">
      <c r="A153" s="74">
        <v>4</v>
      </c>
      <c r="B153" s="86" t="s">
        <v>83</v>
      </c>
      <c r="C153" s="87" t="s">
        <v>62</v>
      </c>
      <c r="D153" s="111" t="s">
        <v>259</v>
      </c>
      <c r="E153" s="89">
        <f ca="1">EVALUATE(D153)</f>
        <v>589.5</v>
      </c>
      <c r="F153" s="90"/>
    </row>
    <row r="154" customFormat="1" ht="13.5" spans="1:6">
      <c r="A154" s="74">
        <v>5</v>
      </c>
      <c r="B154" s="86" t="s">
        <v>84</v>
      </c>
      <c r="C154" s="87" t="s">
        <v>62</v>
      </c>
      <c r="D154" s="112" t="s">
        <v>260</v>
      </c>
      <c r="E154" s="89">
        <f ca="1">EVALUATE(D154)</f>
        <v>3046.78255166</v>
      </c>
      <c r="F154" s="90"/>
    </row>
    <row r="155" s="61" customFormat="1" customHeight="1" spans="1:16">
      <c r="A155" s="75"/>
      <c r="B155" s="75" t="s">
        <v>261</v>
      </c>
      <c r="C155" s="76"/>
      <c r="D155" s="77"/>
      <c r="E155" s="113"/>
      <c r="F155" s="79"/>
      <c r="P155" s="118"/>
    </row>
    <row r="156" customHeight="1" spans="1:6">
      <c r="A156" s="80" t="s">
        <v>101</v>
      </c>
      <c r="B156" s="81" t="s">
        <v>262</v>
      </c>
      <c r="C156" s="82"/>
      <c r="D156" s="83"/>
      <c r="E156" s="84"/>
      <c r="F156" s="85"/>
    </row>
    <row r="157" customHeight="1" spans="1:6">
      <c r="A157" s="74">
        <v>1</v>
      </c>
      <c r="B157" s="114" t="s">
        <v>263</v>
      </c>
      <c r="C157" s="115" t="s">
        <v>181</v>
      </c>
      <c r="D157" s="99">
        <v>800</v>
      </c>
      <c r="E157" s="89">
        <f ca="1" t="shared" ref="E157:E162" si="7">EVALUATE(D157)</f>
        <v>800</v>
      </c>
      <c r="F157" s="90"/>
    </row>
    <row r="158" customHeight="1" spans="1:6">
      <c r="A158" s="74">
        <v>2</v>
      </c>
      <c r="B158" s="114" t="s">
        <v>264</v>
      </c>
      <c r="C158" s="115" t="s">
        <v>153</v>
      </c>
      <c r="D158" s="88">
        <v>2</v>
      </c>
      <c r="E158" s="89">
        <f ca="1" t="shared" si="7"/>
        <v>2</v>
      </c>
      <c r="F158" s="90"/>
    </row>
    <row r="159" customHeight="1" spans="1:6">
      <c r="A159" s="74">
        <v>3</v>
      </c>
      <c r="B159" s="114" t="s">
        <v>265</v>
      </c>
      <c r="C159" s="115" t="s">
        <v>104</v>
      </c>
      <c r="D159" s="88">
        <v>1</v>
      </c>
      <c r="E159" s="89">
        <f ca="1" t="shared" si="7"/>
        <v>1</v>
      </c>
      <c r="F159" s="90"/>
    </row>
    <row r="160" customHeight="1" spans="1:6">
      <c r="A160" s="74">
        <v>4</v>
      </c>
      <c r="B160" s="114" t="s">
        <v>266</v>
      </c>
      <c r="C160" s="115" t="s">
        <v>181</v>
      </c>
      <c r="D160" s="88">
        <v>210</v>
      </c>
      <c r="E160" s="89">
        <f ca="1" t="shared" si="7"/>
        <v>210</v>
      </c>
      <c r="F160" s="90"/>
    </row>
    <row r="161" customHeight="1" spans="1:6">
      <c r="A161" s="74">
        <v>5</v>
      </c>
      <c r="B161" s="114" t="s">
        <v>267</v>
      </c>
      <c r="C161" s="116" t="s">
        <v>181</v>
      </c>
      <c r="D161" s="88">
        <v>300</v>
      </c>
      <c r="E161" s="89">
        <f ca="1" t="shared" si="7"/>
        <v>300</v>
      </c>
      <c r="F161" s="90"/>
    </row>
    <row r="162" customHeight="1" spans="1:6">
      <c r="A162" s="74">
        <v>6</v>
      </c>
      <c r="B162" s="86" t="s">
        <v>268</v>
      </c>
      <c r="C162" s="87" t="s">
        <v>269</v>
      </c>
      <c r="D162" s="88">
        <v>2</v>
      </c>
      <c r="E162" s="89">
        <f ca="1" t="shared" si="7"/>
        <v>2</v>
      </c>
      <c r="F162" s="90"/>
    </row>
    <row r="163" customHeight="1" spans="1:6">
      <c r="A163" s="80" t="s">
        <v>270</v>
      </c>
      <c r="B163" s="81" t="s">
        <v>102</v>
      </c>
      <c r="C163" s="82"/>
      <c r="D163" s="83"/>
      <c r="E163" s="84"/>
      <c r="F163" s="85"/>
    </row>
    <row r="164" customHeight="1" spans="1:6">
      <c r="A164" s="74">
        <v>1</v>
      </c>
      <c r="B164" s="114" t="s">
        <v>271</v>
      </c>
      <c r="C164" s="116" t="s">
        <v>181</v>
      </c>
      <c r="D164" s="99">
        <v>3000</v>
      </c>
      <c r="E164" s="89">
        <f ca="1">EVALUATE(D164)</f>
        <v>3000</v>
      </c>
      <c r="F164" s="90"/>
    </row>
    <row r="165" customHeight="1" spans="1:6">
      <c r="A165" s="74">
        <v>2</v>
      </c>
      <c r="B165" s="114" t="s">
        <v>272</v>
      </c>
      <c r="C165" s="116" t="s">
        <v>153</v>
      </c>
      <c r="D165" s="88">
        <v>3</v>
      </c>
      <c r="E165" s="89">
        <f ca="1">EVALUATE(D165)</f>
        <v>3</v>
      </c>
      <c r="F165" s="90"/>
    </row>
    <row r="166" customHeight="1" spans="1:6">
      <c r="A166" s="74">
        <v>3</v>
      </c>
      <c r="B166" s="114" t="s">
        <v>273</v>
      </c>
      <c r="C166" s="116" t="s">
        <v>104</v>
      </c>
      <c r="D166" s="88">
        <v>3</v>
      </c>
      <c r="E166" s="89">
        <f ca="1">EVALUATE(D166)</f>
        <v>3</v>
      </c>
      <c r="F166" s="90"/>
    </row>
    <row r="167" customHeight="1" spans="1:6">
      <c r="A167" s="74" t="s">
        <v>225</v>
      </c>
      <c r="B167" s="114" t="s">
        <v>274</v>
      </c>
      <c r="C167" s="116" t="s">
        <v>275</v>
      </c>
      <c r="D167" s="88">
        <v>1</v>
      </c>
      <c r="E167" s="89">
        <f ca="1">EVALUATE(D167)</f>
        <v>1</v>
      </c>
      <c r="F167" s="90"/>
    </row>
    <row r="168" customHeight="1" spans="1:6">
      <c r="A168" s="80" t="s">
        <v>206</v>
      </c>
      <c r="B168" s="81" t="s">
        <v>276</v>
      </c>
      <c r="C168" s="82"/>
      <c r="D168" s="83"/>
      <c r="E168" s="84"/>
      <c r="F168" s="85"/>
    </row>
    <row r="169" customHeight="1" spans="1:6">
      <c r="A169" s="74">
        <v>1</v>
      </c>
      <c r="B169" s="86" t="s">
        <v>277</v>
      </c>
      <c r="C169" s="87" t="s">
        <v>104</v>
      </c>
      <c r="D169" s="88">
        <v>1</v>
      </c>
      <c r="E169" s="89">
        <f ca="1" t="shared" ref="E169:E174" si="8">EVALUATE(D169)</f>
        <v>1</v>
      </c>
      <c r="F169" s="90"/>
    </row>
    <row r="170" customHeight="1" spans="1:6">
      <c r="A170" s="74">
        <v>2</v>
      </c>
      <c r="B170" s="86" t="s">
        <v>94</v>
      </c>
      <c r="C170" s="87" t="s">
        <v>104</v>
      </c>
      <c r="D170" s="88">
        <v>2</v>
      </c>
      <c r="E170" s="89">
        <f ca="1" t="shared" si="8"/>
        <v>2</v>
      </c>
      <c r="F170" s="90"/>
    </row>
    <row r="171" customHeight="1" spans="1:6">
      <c r="A171" s="74">
        <v>3</v>
      </c>
      <c r="B171" s="86" t="s">
        <v>278</v>
      </c>
      <c r="C171" s="87" t="s">
        <v>279</v>
      </c>
      <c r="D171" s="88">
        <v>2</v>
      </c>
      <c r="E171" s="89">
        <f ca="1" t="shared" si="8"/>
        <v>2</v>
      </c>
      <c r="F171" s="90"/>
    </row>
    <row r="172" customHeight="1" spans="1:6">
      <c r="A172" s="74">
        <v>4</v>
      </c>
      <c r="B172" s="86" t="s">
        <v>280</v>
      </c>
      <c r="C172" s="87" t="s">
        <v>279</v>
      </c>
      <c r="D172" s="88">
        <v>2</v>
      </c>
      <c r="E172" s="89">
        <f ca="1" t="shared" si="8"/>
        <v>2</v>
      </c>
      <c r="F172" s="90"/>
    </row>
    <row r="173" customHeight="1" spans="1:6">
      <c r="A173" s="74">
        <v>5</v>
      </c>
      <c r="B173" s="114" t="s">
        <v>266</v>
      </c>
      <c r="C173" s="115" t="s">
        <v>181</v>
      </c>
      <c r="D173" s="88">
        <v>2060</v>
      </c>
      <c r="E173" s="89">
        <f ca="1" t="shared" si="8"/>
        <v>2060</v>
      </c>
      <c r="F173" s="90"/>
    </row>
    <row r="174" customHeight="1" spans="1:6">
      <c r="A174" s="74">
        <v>6</v>
      </c>
      <c r="B174" s="114" t="s">
        <v>268</v>
      </c>
      <c r="C174" s="115" t="s">
        <v>269</v>
      </c>
      <c r="D174" s="88">
        <v>10</v>
      </c>
      <c r="E174" s="89">
        <f ca="1" t="shared" si="8"/>
        <v>10</v>
      </c>
      <c r="F174" s="90"/>
    </row>
    <row r="175" customHeight="1" spans="1:9">
      <c r="A175" s="80" t="s">
        <v>228</v>
      </c>
      <c r="B175" s="81" t="s">
        <v>250</v>
      </c>
      <c r="C175" s="82"/>
      <c r="D175" s="83"/>
      <c r="E175" s="84"/>
      <c r="F175" s="85"/>
      <c r="H175" s="65" t="s">
        <v>281</v>
      </c>
      <c r="I175" s="65" t="s">
        <v>282</v>
      </c>
    </row>
    <row r="176" customHeight="1" spans="1:9">
      <c r="A176" s="74">
        <v>1</v>
      </c>
      <c r="B176" s="86" t="s">
        <v>283</v>
      </c>
      <c r="C176" s="87" t="s">
        <v>181</v>
      </c>
      <c r="D176" s="88">
        <v>996</v>
      </c>
      <c r="E176" s="89">
        <f ca="1" t="shared" ref="E176:E182" si="9">EVALUATE(D176)</f>
        <v>996</v>
      </c>
      <c r="F176" s="90"/>
      <c r="G176" s="65">
        <f>D176+D177+D178+D180+D179</f>
        <v>13396</v>
      </c>
      <c r="H176" s="117">
        <f>3930/G176</f>
        <v>0.293371155568827</v>
      </c>
      <c r="I176" s="117">
        <f>9466/G176</f>
        <v>0.706628844431173</v>
      </c>
    </row>
    <row r="177" customHeight="1" spans="1:6">
      <c r="A177" s="74">
        <v>2</v>
      </c>
      <c r="B177" s="86" t="s">
        <v>284</v>
      </c>
      <c r="C177" s="87" t="s">
        <v>181</v>
      </c>
      <c r="D177" s="88">
        <v>3000</v>
      </c>
      <c r="E177" s="89">
        <f ca="1" t="shared" si="9"/>
        <v>3000</v>
      </c>
      <c r="F177" s="90"/>
    </row>
    <row r="178" customHeight="1" spans="1:6">
      <c r="A178" s="74">
        <v>3</v>
      </c>
      <c r="B178" s="86" t="s">
        <v>285</v>
      </c>
      <c r="C178" s="115" t="s">
        <v>181</v>
      </c>
      <c r="D178" s="88">
        <v>3000</v>
      </c>
      <c r="E178" s="89">
        <f ca="1" t="shared" si="9"/>
        <v>3000</v>
      </c>
      <c r="F178" s="90"/>
    </row>
    <row r="179" customHeight="1" spans="1:6">
      <c r="A179" s="74">
        <v>4</v>
      </c>
      <c r="B179" s="86" t="s">
        <v>286</v>
      </c>
      <c r="C179" s="87" t="s">
        <v>181</v>
      </c>
      <c r="D179" s="88">
        <v>3400</v>
      </c>
      <c r="E179" s="89">
        <f ca="1" t="shared" si="9"/>
        <v>3400</v>
      </c>
      <c r="F179" s="79"/>
    </row>
    <row r="180" customHeight="1" spans="1:6">
      <c r="A180" s="74">
        <v>5</v>
      </c>
      <c r="B180" s="86" t="s">
        <v>287</v>
      </c>
      <c r="C180" s="87" t="s">
        <v>181</v>
      </c>
      <c r="D180" s="88">
        <v>3000</v>
      </c>
      <c r="E180" s="89">
        <f ca="1" t="shared" si="9"/>
        <v>3000</v>
      </c>
      <c r="F180" s="90"/>
    </row>
    <row r="181" customHeight="1" spans="1:6">
      <c r="A181" s="74">
        <v>6</v>
      </c>
      <c r="B181" s="86" t="s">
        <v>288</v>
      </c>
      <c r="C181" s="87" t="s">
        <v>181</v>
      </c>
      <c r="D181" s="88">
        <v>12500</v>
      </c>
      <c r="E181" s="89">
        <f ca="1" t="shared" si="9"/>
        <v>12500</v>
      </c>
      <c r="F181" s="90"/>
    </row>
    <row r="182" customHeight="1" spans="1:6">
      <c r="A182" s="74">
        <v>7</v>
      </c>
      <c r="B182" s="86" t="s">
        <v>289</v>
      </c>
      <c r="C182" s="87" t="s">
        <v>290</v>
      </c>
      <c r="D182" s="88">
        <v>15411.72</v>
      </c>
      <c r="E182" s="89">
        <f ca="1" t="shared" si="9"/>
        <v>15411.72</v>
      </c>
      <c r="F182" s="90"/>
    </row>
    <row r="183" customHeight="1" spans="1:6">
      <c r="A183" s="80" t="s">
        <v>249</v>
      </c>
      <c r="B183" s="81" t="s">
        <v>291</v>
      </c>
      <c r="C183" s="82"/>
      <c r="D183" s="83"/>
      <c r="E183" s="84"/>
      <c r="F183" s="85"/>
    </row>
    <row r="184" customHeight="1" spans="1:6">
      <c r="A184" s="74">
        <v>1</v>
      </c>
      <c r="B184" s="86" t="s">
        <v>292</v>
      </c>
      <c r="C184" s="87" t="s">
        <v>293</v>
      </c>
      <c r="D184" s="88">
        <v>1</v>
      </c>
      <c r="E184" s="89">
        <f ca="1">EVALUATE(D184)</f>
        <v>1</v>
      </c>
      <c r="F184" s="90"/>
    </row>
    <row r="185" customHeight="1" spans="1:6">
      <c r="A185" s="74">
        <v>2</v>
      </c>
      <c r="B185" s="86" t="s">
        <v>266</v>
      </c>
      <c r="C185" s="87" t="s">
        <v>181</v>
      </c>
      <c r="D185" s="88">
        <v>200</v>
      </c>
      <c r="E185" s="89">
        <f ca="1">EVALUATE(D185)</f>
        <v>200</v>
      </c>
      <c r="F185" s="90"/>
    </row>
    <row r="186" customHeight="1" spans="1:6">
      <c r="A186" s="74">
        <v>3</v>
      </c>
      <c r="B186" s="86" t="s">
        <v>294</v>
      </c>
      <c r="C186" s="87" t="s">
        <v>275</v>
      </c>
      <c r="D186" s="88">
        <v>1</v>
      </c>
      <c r="E186" s="89">
        <f ca="1">EVALUATE(D186)</f>
        <v>1</v>
      </c>
      <c r="F186" s="90"/>
    </row>
    <row r="187" customHeight="1" spans="1:6">
      <c r="A187" s="74">
        <v>4</v>
      </c>
      <c r="B187" s="86" t="s">
        <v>280</v>
      </c>
      <c r="C187" s="87" t="s">
        <v>293</v>
      </c>
      <c r="D187" s="88">
        <v>1</v>
      </c>
      <c r="E187" s="89">
        <f ca="1">EVALUATE(D187)</f>
        <v>1</v>
      </c>
      <c r="F187" s="90"/>
    </row>
  </sheetData>
  <mergeCells count="2">
    <mergeCell ref="A1:F1"/>
    <mergeCell ref="A2:F2"/>
  </mergeCells>
  <pageMargins left="0.550694444444444" right="0.472222222222222" top="0.432638888888889" bottom="0.708333333333333" header="0.275" footer="0.432638888888889"/>
  <pageSetup paperSize="9" scale="78" fitToHeight="0" orientation="portrait" horizontalDpi="600"/>
  <headerFooter>
    <oddFooter>&amp;L&amp;9建设单位：&amp;C&amp;9施工单位：&amp;R&amp;9第&amp;P页 共&amp;N页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28"/>
  <sheetViews>
    <sheetView zoomScale="90" zoomScaleNormal="90" workbookViewId="0">
      <selection activeCell="A29" sqref="$A29:$XFD42"/>
    </sheetView>
  </sheetViews>
  <sheetFormatPr defaultColWidth="9" defaultRowHeight="14.25"/>
  <cols>
    <col min="1" max="1" width="4.875" customWidth="1"/>
    <col min="2" max="2" width="18.75" style="1" customWidth="1"/>
    <col min="3" max="3" width="4.125" style="1" customWidth="1"/>
    <col min="4" max="4" width="6.375" style="1" customWidth="1"/>
    <col min="5" max="5" width="7.375" style="1" customWidth="1"/>
    <col min="6" max="6" width="7" style="1" customWidth="1"/>
    <col min="7" max="7" width="7.125" style="1" customWidth="1"/>
    <col min="8" max="8" width="7.75" style="1" customWidth="1"/>
    <col min="9" max="33" width="6.625" style="1" customWidth="1"/>
    <col min="34" max="34" width="8.5" style="1" hidden="1" customWidth="1"/>
    <col min="35" max="35" width="7.625" style="1" hidden="1" customWidth="1"/>
    <col min="36" max="36" width="9.375" style="1" hidden="1" customWidth="1"/>
    <col min="37" max="37" width="11.125" style="1" hidden="1" customWidth="1"/>
    <col min="38" max="38" width="9.375" style="1" hidden="1" customWidth="1"/>
    <col min="39" max="245" width="9" style="1"/>
    <col min="246" max="16384" width="9" style="2"/>
  </cols>
  <sheetData>
    <row r="1" s="1" customFormat="1" ht="29" customHeight="1" spans="1:33">
      <c r="A1" s="3" t="s">
        <v>295</v>
      </c>
      <c r="B1" s="4"/>
      <c r="C1" s="4"/>
      <c r="D1" s="4"/>
      <c r="E1" s="4"/>
      <c r="F1" s="4"/>
      <c r="G1" s="4"/>
      <c r="H1" s="4"/>
      <c r="I1" s="19"/>
      <c r="J1" s="3" t="str">
        <f>工程量核对表!B8</f>
        <v>水厂工程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19"/>
    </row>
    <row r="2" s="1" customFormat="1" ht="14" customHeight="1" spans="1:33">
      <c r="A2" s="5" t="s">
        <v>22</v>
      </c>
      <c r="B2" s="6"/>
      <c r="C2" s="6"/>
      <c r="D2" s="6"/>
      <c r="E2" s="6"/>
      <c r="F2" s="6"/>
      <c r="G2" s="6"/>
      <c r="H2" s="6"/>
      <c r="I2" s="20"/>
      <c r="J2" s="21" t="str">
        <f>工程量核对表!B18</f>
        <v>新建80方清水池</v>
      </c>
      <c r="K2" s="22"/>
      <c r="L2" s="22"/>
      <c r="M2" s="22"/>
      <c r="N2" s="22"/>
      <c r="O2" s="23"/>
      <c r="P2" s="24" t="str">
        <f>工程量核对表!B9</f>
        <v>闸阀井</v>
      </c>
      <c r="Q2" s="43"/>
      <c r="R2" s="43"/>
      <c r="S2" s="43"/>
      <c r="T2" s="43"/>
      <c r="U2" s="44"/>
      <c r="V2" s="24" t="str">
        <f>工程量核对表!B32</f>
        <v>新建100方清水池</v>
      </c>
      <c r="W2" s="43"/>
      <c r="X2" s="43"/>
      <c r="Y2" s="43"/>
      <c r="Z2" s="43"/>
      <c r="AA2" s="44"/>
      <c r="AB2" s="24" t="str">
        <f>工程量核对表!B46</f>
        <v>硬化带</v>
      </c>
      <c r="AC2" s="43"/>
      <c r="AD2" s="43"/>
      <c r="AE2" s="43"/>
      <c r="AF2" s="43"/>
      <c r="AG2" s="44"/>
    </row>
    <row r="3" s="1" customFormat="1" ht="20" customHeight="1" spans="1:38">
      <c r="A3" s="7" t="s">
        <v>23</v>
      </c>
      <c r="B3" s="8" t="s">
        <v>296</v>
      </c>
      <c r="C3" s="8" t="s">
        <v>25</v>
      </c>
      <c r="D3" s="9" t="s">
        <v>100</v>
      </c>
      <c r="E3" s="9" t="s">
        <v>297</v>
      </c>
      <c r="F3" s="9"/>
      <c r="G3" s="9"/>
      <c r="H3" s="9"/>
      <c r="I3" s="25"/>
      <c r="J3" s="26" t="s">
        <v>100</v>
      </c>
      <c r="K3" s="9" t="s">
        <v>298</v>
      </c>
      <c r="L3" s="9"/>
      <c r="M3" s="9"/>
      <c r="N3" s="9"/>
      <c r="O3" s="25"/>
      <c r="P3" s="26" t="s">
        <v>100</v>
      </c>
      <c r="Q3" s="9" t="s">
        <v>298</v>
      </c>
      <c r="R3" s="9"/>
      <c r="S3" s="9"/>
      <c r="T3" s="9"/>
      <c r="U3" s="25"/>
      <c r="V3" s="26" t="s">
        <v>100</v>
      </c>
      <c r="W3" s="9" t="s">
        <v>298</v>
      </c>
      <c r="X3" s="9"/>
      <c r="Y3" s="9"/>
      <c r="Z3" s="9"/>
      <c r="AA3" s="25"/>
      <c r="AB3" s="26" t="s">
        <v>100</v>
      </c>
      <c r="AC3" s="9" t="s">
        <v>298</v>
      </c>
      <c r="AD3" s="9"/>
      <c r="AE3" s="9"/>
      <c r="AF3" s="9"/>
      <c r="AG3" s="25"/>
      <c r="AH3" s="51" t="s">
        <v>299</v>
      </c>
      <c r="AI3" s="51"/>
      <c r="AJ3" s="51"/>
      <c r="AK3" s="51"/>
      <c r="AL3" s="51"/>
    </row>
    <row r="4" s="1" customFormat="1" ht="36" customHeight="1" spans="1:38">
      <c r="A4" s="7"/>
      <c r="B4" s="8"/>
      <c r="C4" s="8"/>
      <c r="D4" s="9"/>
      <c r="E4" s="9" t="s">
        <v>300</v>
      </c>
      <c r="F4" s="9" t="s">
        <v>301</v>
      </c>
      <c r="G4" s="9" t="s">
        <v>302</v>
      </c>
      <c r="H4" s="9" t="s">
        <v>303</v>
      </c>
      <c r="I4" s="25" t="s">
        <v>304</v>
      </c>
      <c r="J4" s="26"/>
      <c r="K4" s="9" t="s">
        <v>305</v>
      </c>
      <c r="L4" s="9" t="s">
        <v>301</v>
      </c>
      <c r="M4" s="9" t="s">
        <v>302</v>
      </c>
      <c r="N4" s="9" t="s">
        <v>303</v>
      </c>
      <c r="O4" s="25" t="s">
        <v>304</v>
      </c>
      <c r="P4" s="26"/>
      <c r="Q4" s="9" t="s">
        <v>305</v>
      </c>
      <c r="R4" s="9" t="s">
        <v>301</v>
      </c>
      <c r="S4" s="9" t="s">
        <v>302</v>
      </c>
      <c r="T4" s="9" t="s">
        <v>303</v>
      </c>
      <c r="U4" s="25" t="s">
        <v>304</v>
      </c>
      <c r="V4" s="26"/>
      <c r="W4" s="9" t="s">
        <v>305</v>
      </c>
      <c r="X4" s="9" t="s">
        <v>301</v>
      </c>
      <c r="Y4" s="9" t="s">
        <v>302</v>
      </c>
      <c r="Z4" s="9" t="s">
        <v>303</v>
      </c>
      <c r="AA4" s="25" t="s">
        <v>304</v>
      </c>
      <c r="AB4" s="26"/>
      <c r="AC4" s="9" t="s">
        <v>305</v>
      </c>
      <c r="AD4" s="9" t="s">
        <v>301</v>
      </c>
      <c r="AE4" s="9" t="s">
        <v>302</v>
      </c>
      <c r="AF4" s="9" t="s">
        <v>303</v>
      </c>
      <c r="AG4" s="25" t="s">
        <v>304</v>
      </c>
      <c r="AH4" s="52" t="s">
        <v>305</v>
      </c>
      <c r="AI4" s="53" t="s">
        <v>301</v>
      </c>
      <c r="AJ4" s="53" t="s">
        <v>302</v>
      </c>
      <c r="AK4" s="53" t="s">
        <v>303</v>
      </c>
      <c r="AL4" s="54" t="s">
        <v>304</v>
      </c>
    </row>
    <row r="5" s="1" customFormat="1" ht="14" customHeight="1" spans="1:38">
      <c r="A5" s="10">
        <v>1</v>
      </c>
      <c r="B5" s="11" t="s">
        <v>306</v>
      </c>
      <c r="C5" s="12" t="s">
        <v>62</v>
      </c>
      <c r="D5" s="12">
        <v>1</v>
      </c>
      <c r="E5" s="13">
        <v>350.3576</v>
      </c>
      <c r="F5" s="13">
        <v>0.544</v>
      </c>
      <c r="G5" s="13">
        <v>0.8666</v>
      </c>
      <c r="H5" s="13"/>
      <c r="I5" s="27"/>
      <c r="J5" s="28"/>
      <c r="K5" s="29">
        <f t="shared" ref="K5:K7" si="0">E5*J5/1000</f>
        <v>0</v>
      </c>
      <c r="L5" s="29">
        <f t="shared" ref="L5:L7" si="1">J5*F5</f>
        <v>0</v>
      </c>
      <c r="M5" s="29">
        <f>J5*G5</f>
        <v>0</v>
      </c>
      <c r="N5" s="29"/>
      <c r="O5" s="30"/>
      <c r="P5" s="28">
        <f ca="1">工程量核对表!F14</f>
        <v>0.08496</v>
      </c>
      <c r="Q5" s="29">
        <f ca="1" t="shared" ref="Q5:Q10" si="2">E5*P5/1000</f>
        <v>0.029766381696</v>
      </c>
      <c r="R5" s="29">
        <f ca="1" t="shared" ref="R5:R10" si="3">P5*F5</f>
        <v>0.04621824</v>
      </c>
      <c r="S5" s="29">
        <f ca="1">P5*G5</f>
        <v>0.073626336</v>
      </c>
      <c r="T5" s="29"/>
      <c r="U5" s="30"/>
      <c r="V5" s="28"/>
      <c r="W5" s="29">
        <f t="shared" ref="W5:W11" si="4">E5*V5/1000</f>
        <v>0</v>
      </c>
      <c r="X5" s="29">
        <f t="shared" ref="X5:X12" si="5">V5*F5</f>
        <v>0</v>
      </c>
      <c r="Y5" s="29">
        <f>V5*G5</f>
        <v>0</v>
      </c>
      <c r="Z5" s="29"/>
      <c r="AA5" s="30"/>
      <c r="AB5" s="28"/>
      <c r="AC5" s="29">
        <f t="shared" ref="AC5:AC11" si="6">E5*AB5/1000</f>
        <v>0</v>
      </c>
      <c r="AD5" s="29">
        <f t="shared" ref="AD5:AD12" si="7">AB5*F5</f>
        <v>0</v>
      </c>
      <c r="AE5" s="29">
        <f>AB5*G5</f>
        <v>0</v>
      </c>
      <c r="AF5" s="29"/>
      <c r="AG5" s="30"/>
      <c r="AH5" s="55">
        <f ca="1" t="shared" ref="AH5:AL5" si="8">K14+Q14+W14+AC14</f>
        <v>14.1211812939983</v>
      </c>
      <c r="AI5" s="55">
        <f ca="1" t="shared" si="8"/>
        <v>27.36189170714</v>
      </c>
      <c r="AJ5" s="55">
        <f ca="1" t="shared" si="8"/>
        <v>27.21115854496</v>
      </c>
      <c r="AK5" s="55">
        <f ca="1" t="shared" si="8"/>
        <v>16.2203312748</v>
      </c>
      <c r="AL5" s="55">
        <f t="shared" si="8"/>
        <v>0</v>
      </c>
    </row>
    <row r="6" s="1" customFormat="1" ht="14" customHeight="1" spans="1:33">
      <c r="A6" s="10">
        <v>2</v>
      </c>
      <c r="B6" s="11" t="s">
        <v>307</v>
      </c>
      <c r="C6" s="12" t="s">
        <v>62</v>
      </c>
      <c r="D6" s="12">
        <v>1</v>
      </c>
      <c r="E6" s="13">
        <v>375.8161</v>
      </c>
      <c r="F6" s="13">
        <v>0.5219</v>
      </c>
      <c r="G6" s="13">
        <v>0.8666</v>
      </c>
      <c r="H6" s="13"/>
      <c r="I6" s="27"/>
      <c r="J6" s="28">
        <f ca="1">工程量核对表!F23</f>
        <v>8.2833631</v>
      </c>
      <c r="K6" s="29">
        <f ca="1" t="shared" si="0"/>
        <v>3.11302121512591</v>
      </c>
      <c r="L6" s="29">
        <f ca="1" t="shared" si="1"/>
        <v>4.32308720189</v>
      </c>
      <c r="M6" s="29">
        <f ca="1">J6*G6</f>
        <v>7.17836246246</v>
      </c>
      <c r="N6" s="29"/>
      <c r="O6" s="30"/>
      <c r="P6" s="28"/>
      <c r="Q6" s="29">
        <f t="shared" si="2"/>
        <v>0</v>
      </c>
      <c r="R6" s="29">
        <f t="shared" si="3"/>
        <v>0</v>
      </c>
      <c r="S6" s="29">
        <f>P6*G6</f>
        <v>0</v>
      </c>
      <c r="T6" s="29"/>
      <c r="U6" s="30"/>
      <c r="V6" s="28">
        <f ca="1">工程量核对表!F37</f>
        <v>17.6669275</v>
      </c>
      <c r="W6" s="29">
        <f ca="1" t="shared" si="4"/>
        <v>6.63951579203275</v>
      </c>
      <c r="X6" s="29">
        <f ca="1" t="shared" si="5"/>
        <v>9.22036946225</v>
      </c>
      <c r="Y6" s="29">
        <f ca="1">V6*G6</f>
        <v>15.3101593715</v>
      </c>
      <c r="Z6" s="29"/>
      <c r="AA6" s="30"/>
      <c r="AB6" s="28"/>
      <c r="AC6" s="29">
        <f t="shared" si="6"/>
        <v>0</v>
      </c>
      <c r="AD6" s="29">
        <f t="shared" si="7"/>
        <v>0</v>
      </c>
      <c r="AE6" s="29">
        <f>AB6*G6</f>
        <v>0</v>
      </c>
      <c r="AF6" s="29"/>
      <c r="AG6" s="30"/>
    </row>
    <row r="7" s="1" customFormat="1" ht="14" customHeight="1" spans="1:33">
      <c r="A7" s="10">
        <v>3</v>
      </c>
      <c r="B7" s="11" t="s">
        <v>110</v>
      </c>
      <c r="C7" s="12" t="s">
        <v>62</v>
      </c>
      <c r="D7" s="12">
        <v>1</v>
      </c>
      <c r="E7" s="13">
        <v>66.033</v>
      </c>
      <c r="F7" s="13">
        <v>0.25</v>
      </c>
      <c r="G7" s="13"/>
      <c r="H7" s="13">
        <f>534/1000</f>
        <v>0.534</v>
      </c>
      <c r="I7" s="27"/>
      <c r="J7" s="28">
        <f ca="1">工程量核对表!F28</f>
        <v>12.1198924</v>
      </c>
      <c r="K7" s="29">
        <f ca="1" t="shared" si="0"/>
        <v>0.8003128548492</v>
      </c>
      <c r="L7" s="29">
        <f ca="1" t="shared" si="1"/>
        <v>3.0299731</v>
      </c>
      <c r="M7" s="29"/>
      <c r="N7" s="29">
        <f ca="1">J7*H7</f>
        <v>6.4720225416</v>
      </c>
      <c r="O7" s="30"/>
      <c r="P7" s="28">
        <f ca="1">工程量核对表!F13</f>
        <v>0.53061</v>
      </c>
      <c r="Q7" s="29">
        <f ca="1" t="shared" si="2"/>
        <v>0.03503777013</v>
      </c>
      <c r="R7" s="29">
        <f ca="1" t="shared" si="3"/>
        <v>0.1326525</v>
      </c>
      <c r="S7" s="29"/>
      <c r="T7" s="29">
        <f ca="1">P7*H7</f>
        <v>0.28334574</v>
      </c>
      <c r="U7" s="30"/>
      <c r="V7" s="28">
        <f ca="1">工程量核对表!F42</f>
        <v>17.7246498</v>
      </c>
      <c r="W7" s="29">
        <f ca="1" t="shared" si="4"/>
        <v>1.1704118002434</v>
      </c>
      <c r="X7" s="29">
        <f ca="1" t="shared" si="5"/>
        <v>4.43116245</v>
      </c>
      <c r="Y7" s="29"/>
      <c r="Z7" s="29">
        <f ca="1">V7*H7</f>
        <v>9.4649629932</v>
      </c>
      <c r="AA7" s="30"/>
      <c r="AB7" s="28"/>
      <c r="AC7" s="29">
        <f t="shared" si="6"/>
        <v>0</v>
      </c>
      <c r="AD7" s="29">
        <f t="shared" si="7"/>
        <v>0</v>
      </c>
      <c r="AE7" s="29"/>
      <c r="AF7" s="29">
        <f>AB7*H7</f>
        <v>0</v>
      </c>
      <c r="AG7" s="30"/>
    </row>
    <row r="8" s="1" customFormat="1" ht="14" customHeight="1" spans="1:33">
      <c r="A8" s="10">
        <v>4</v>
      </c>
      <c r="B8" s="14" t="s">
        <v>308</v>
      </c>
      <c r="C8" s="12" t="s">
        <v>62</v>
      </c>
      <c r="D8" s="12">
        <v>1</v>
      </c>
      <c r="E8" s="13">
        <f>34.4/100*261</f>
        <v>89.784</v>
      </c>
      <c r="F8" s="13">
        <f>34.4/100*1.11</f>
        <v>0.38184</v>
      </c>
      <c r="G8" s="13"/>
      <c r="H8" s="13"/>
      <c r="I8" s="27">
        <f>108/100</f>
        <v>1.08</v>
      </c>
      <c r="J8" s="28"/>
      <c r="K8" s="29"/>
      <c r="L8" s="29"/>
      <c r="M8" s="29"/>
      <c r="N8" s="29"/>
      <c r="O8" s="30"/>
      <c r="P8" s="28"/>
      <c r="Q8" s="29">
        <f t="shared" si="2"/>
        <v>0</v>
      </c>
      <c r="R8" s="29">
        <f t="shared" si="3"/>
        <v>0</v>
      </c>
      <c r="S8" s="29"/>
      <c r="T8" s="29"/>
      <c r="U8" s="30"/>
      <c r="V8" s="28"/>
      <c r="W8" s="29">
        <f t="shared" si="4"/>
        <v>0</v>
      </c>
      <c r="X8" s="29">
        <f t="shared" si="5"/>
        <v>0</v>
      </c>
      <c r="Y8" s="29"/>
      <c r="Z8" s="29"/>
      <c r="AA8" s="30"/>
      <c r="AB8" s="28"/>
      <c r="AC8" s="29">
        <f t="shared" si="6"/>
        <v>0</v>
      </c>
      <c r="AD8" s="29">
        <f t="shared" si="7"/>
        <v>0</v>
      </c>
      <c r="AE8" s="29"/>
      <c r="AF8" s="29"/>
      <c r="AG8" s="30"/>
    </row>
    <row r="9" s="1" customFormat="1" ht="14" customHeight="1" spans="1:33">
      <c r="A9" s="10">
        <v>5</v>
      </c>
      <c r="B9" s="11" t="s">
        <v>116</v>
      </c>
      <c r="C9" s="12" t="s">
        <v>62</v>
      </c>
      <c r="D9" s="12">
        <v>1</v>
      </c>
      <c r="E9" s="13">
        <v>7.717</v>
      </c>
      <c r="F9" s="13">
        <v>0.02</v>
      </c>
      <c r="G9" s="13"/>
      <c r="H9" s="13"/>
      <c r="I9" s="27"/>
      <c r="J9" s="28">
        <f ca="1">工程量核对表!F26</f>
        <v>93.325568</v>
      </c>
      <c r="K9" s="29">
        <f ca="1">E9*J9/1000</f>
        <v>0.720193408256</v>
      </c>
      <c r="L9" s="29">
        <f ca="1">J9*F9</f>
        <v>1.86651136</v>
      </c>
      <c r="M9" s="29"/>
      <c r="N9" s="29"/>
      <c r="O9" s="30"/>
      <c r="P9" s="28">
        <f ca="1">工程量核对表!F16</f>
        <v>5.2812</v>
      </c>
      <c r="Q9" s="29">
        <f ca="1" t="shared" si="2"/>
        <v>0.0407550204</v>
      </c>
      <c r="R9" s="29">
        <f ca="1" t="shared" si="3"/>
        <v>0.105624</v>
      </c>
      <c r="S9" s="29"/>
      <c r="T9" s="29"/>
      <c r="U9" s="30"/>
      <c r="V9" s="28">
        <f ca="1">工程量核对表!F40</f>
        <v>103.43096</v>
      </c>
      <c r="W9" s="29">
        <f ca="1" t="shared" si="4"/>
        <v>0.79817671832</v>
      </c>
      <c r="X9" s="29">
        <f ca="1" t="shared" si="5"/>
        <v>2.0686192</v>
      </c>
      <c r="Y9" s="29"/>
      <c r="Z9" s="29"/>
      <c r="AA9" s="30"/>
      <c r="AB9" s="28"/>
      <c r="AC9" s="29">
        <f t="shared" si="6"/>
        <v>0</v>
      </c>
      <c r="AD9" s="29">
        <f t="shared" si="7"/>
        <v>0</v>
      </c>
      <c r="AE9" s="29"/>
      <c r="AF9" s="29"/>
      <c r="AG9" s="30"/>
    </row>
    <row r="10" s="1" customFormat="1" ht="14" customHeight="1" spans="1:33">
      <c r="A10" s="10">
        <v>6</v>
      </c>
      <c r="B10" s="11" t="s">
        <v>309</v>
      </c>
      <c r="C10" s="12" t="s">
        <v>117</v>
      </c>
      <c r="D10" s="12">
        <v>1</v>
      </c>
      <c r="E10" s="13">
        <f>403.17/100+99.48/100</f>
        <v>5.0265</v>
      </c>
      <c r="F10" s="13">
        <f>0.77/100+0.09/100</f>
        <v>0.0086</v>
      </c>
      <c r="G10" s="13"/>
      <c r="H10" s="13"/>
      <c r="I10" s="27"/>
      <c r="J10" s="28">
        <f ca="1">工程量核对表!F27</f>
        <v>31.64988</v>
      </c>
      <c r="K10" s="29">
        <f ca="1">E10*J10/1000</f>
        <v>0.15908812182</v>
      </c>
      <c r="L10" s="29">
        <f ca="1">J10*F10</f>
        <v>0.272188968</v>
      </c>
      <c r="M10" s="29"/>
      <c r="N10" s="29"/>
      <c r="O10" s="30"/>
      <c r="P10" s="28"/>
      <c r="Q10" s="29">
        <f t="shared" si="2"/>
        <v>0</v>
      </c>
      <c r="R10" s="29">
        <f t="shared" si="3"/>
        <v>0</v>
      </c>
      <c r="S10" s="29"/>
      <c r="T10" s="29"/>
      <c r="U10" s="30"/>
      <c r="V10" s="28">
        <f ca="1">工程量核对表!F41</f>
        <v>32.696</v>
      </c>
      <c r="W10" s="29">
        <f ca="1" t="shared" si="4"/>
        <v>0.164346444</v>
      </c>
      <c r="X10" s="29">
        <f ca="1" t="shared" si="5"/>
        <v>0.2811856</v>
      </c>
      <c r="Y10" s="29"/>
      <c r="Z10" s="29"/>
      <c r="AA10" s="30"/>
      <c r="AB10" s="28"/>
      <c r="AC10" s="29">
        <f t="shared" si="6"/>
        <v>0</v>
      </c>
      <c r="AD10" s="29">
        <f t="shared" si="7"/>
        <v>0</v>
      </c>
      <c r="AE10" s="29"/>
      <c r="AF10" s="29"/>
      <c r="AG10" s="30"/>
    </row>
    <row r="11" s="1" customFormat="1" ht="14" customHeight="1" spans="1:33">
      <c r="A11" s="10">
        <v>7</v>
      </c>
      <c r="B11" s="14" t="s">
        <v>310</v>
      </c>
      <c r="C11" s="12" t="s">
        <v>117</v>
      </c>
      <c r="D11" s="12">
        <v>1</v>
      </c>
      <c r="E11" s="13">
        <v>52.043</v>
      </c>
      <c r="F11" s="13">
        <v>0.081</v>
      </c>
      <c r="G11" s="13">
        <v>0.129</v>
      </c>
      <c r="H11" s="13"/>
      <c r="I11" s="27"/>
      <c r="J11" s="28"/>
      <c r="K11" s="29"/>
      <c r="L11" s="29"/>
      <c r="M11" s="29"/>
      <c r="N11" s="29"/>
      <c r="O11" s="30"/>
      <c r="P11" s="28"/>
      <c r="Q11" s="29"/>
      <c r="R11" s="29"/>
      <c r="S11" s="29"/>
      <c r="T11" s="29"/>
      <c r="U11" s="30"/>
      <c r="V11" s="28"/>
      <c r="W11" s="29">
        <f t="shared" si="4"/>
        <v>0</v>
      </c>
      <c r="X11" s="29">
        <f t="shared" si="5"/>
        <v>0</v>
      </c>
      <c r="Y11" s="29">
        <f>V11*G11</f>
        <v>0</v>
      </c>
      <c r="Z11" s="29"/>
      <c r="AA11" s="30"/>
      <c r="AB11" s="28">
        <f ca="1">工程量核对表!F48</f>
        <v>8.657375</v>
      </c>
      <c r="AC11" s="29">
        <f ca="1" t="shared" si="6"/>
        <v>0.450555767125</v>
      </c>
      <c r="AD11" s="29">
        <f ca="1" t="shared" si="7"/>
        <v>0.701247375</v>
      </c>
      <c r="AE11" s="29">
        <f ca="1">AB11*G11</f>
        <v>1.116801375</v>
      </c>
      <c r="AF11" s="29"/>
      <c r="AG11" s="30"/>
    </row>
    <row r="12" s="1" customFormat="1" ht="14" customHeight="1" spans="1:33">
      <c r="A12" s="10">
        <v>8</v>
      </c>
      <c r="B12" s="11" t="s">
        <v>311</v>
      </c>
      <c r="C12" s="12" t="s">
        <v>62</v>
      </c>
      <c r="D12" s="12">
        <v>1</v>
      </c>
      <c r="E12" s="15"/>
      <c r="F12" s="16">
        <v>0.204</v>
      </c>
      <c r="G12" s="16">
        <v>0.816</v>
      </c>
      <c r="H12" s="16"/>
      <c r="I12" s="31"/>
      <c r="J12" s="28"/>
      <c r="K12" s="29"/>
      <c r="L12" s="32"/>
      <c r="M12" s="32"/>
      <c r="N12" s="32"/>
      <c r="O12" s="33"/>
      <c r="P12" s="28"/>
      <c r="Q12" s="29"/>
      <c r="R12" s="29"/>
      <c r="S12" s="29"/>
      <c r="T12" s="32"/>
      <c r="U12" s="33"/>
      <c r="V12" s="28"/>
      <c r="W12" s="29"/>
      <c r="X12" s="29">
        <f t="shared" si="5"/>
        <v>0</v>
      </c>
      <c r="Y12" s="29">
        <f>V12*G12</f>
        <v>0</v>
      </c>
      <c r="Z12" s="32"/>
      <c r="AA12" s="33"/>
      <c r="AB12" s="28">
        <f ca="1">工程量核对表!F47</f>
        <v>4.3286875</v>
      </c>
      <c r="AC12" s="29"/>
      <c r="AD12" s="29">
        <f ca="1" t="shared" si="7"/>
        <v>0.88305225</v>
      </c>
      <c r="AE12" s="29">
        <f ca="1">AB12*G12</f>
        <v>3.532209</v>
      </c>
      <c r="AF12" s="32"/>
      <c r="AG12" s="33"/>
    </row>
    <row r="13" s="1" customFormat="1" ht="14" customHeight="1" spans="1:33">
      <c r="A13" s="10">
        <v>9</v>
      </c>
      <c r="B13" s="11" t="s">
        <v>312</v>
      </c>
      <c r="C13" s="12" t="s">
        <v>62</v>
      </c>
      <c r="D13" s="12">
        <v>1</v>
      </c>
      <c r="E13" s="15">
        <v>284.83</v>
      </c>
      <c r="F13" s="16">
        <v>0.56</v>
      </c>
      <c r="G13" s="16">
        <v>0.84</v>
      </c>
      <c r="H13" s="16"/>
      <c r="I13" s="31"/>
      <c r="J13" s="28"/>
      <c r="K13" s="29"/>
      <c r="L13" s="32"/>
      <c r="M13" s="32"/>
      <c r="N13" s="32"/>
      <c r="O13" s="33"/>
      <c r="P13" s="28"/>
      <c r="Q13" s="29"/>
      <c r="R13" s="29"/>
      <c r="S13" s="29"/>
      <c r="T13" s="32"/>
      <c r="U13" s="33"/>
      <c r="V13" s="28"/>
      <c r="W13" s="29"/>
      <c r="X13" s="29"/>
      <c r="Y13" s="32"/>
      <c r="Z13" s="32"/>
      <c r="AA13" s="33"/>
      <c r="AB13" s="28"/>
      <c r="AC13" s="29"/>
      <c r="AD13" s="29"/>
      <c r="AE13" s="32"/>
      <c r="AF13" s="32"/>
      <c r="AG13" s="33"/>
    </row>
    <row r="14" s="1" customFormat="1" ht="14" customHeight="1" spans="1:33">
      <c r="A14" s="17"/>
      <c r="B14" s="18"/>
      <c r="C14" s="18"/>
      <c r="D14" s="18"/>
      <c r="E14" s="18"/>
      <c r="F14" s="18"/>
      <c r="G14" s="18"/>
      <c r="H14" s="18"/>
      <c r="I14" s="34"/>
      <c r="J14" s="35" t="s">
        <v>313</v>
      </c>
      <c r="K14" s="36">
        <f ca="1" t="shared" ref="K14:N14" si="9">SUM(K5:K13)</f>
        <v>4.79261560005111</v>
      </c>
      <c r="L14" s="36">
        <f ca="1" t="shared" si="9"/>
        <v>9.49176062989</v>
      </c>
      <c r="M14" s="36">
        <f ca="1" t="shared" si="9"/>
        <v>7.17836246246</v>
      </c>
      <c r="N14" s="36">
        <f ca="1" t="shared" si="9"/>
        <v>6.4720225416</v>
      </c>
      <c r="O14" s="37"/>
      <c r="P14" s="35" t="s">
        <v>313</v>
      </c>
      <c r="Q14" s="36">
        <f ca="1" t="shared" ref="Q14:T14" si="10">SUM(Q5:Q12)</f>
        <v>0.105559172226</v>
      </c>
      <c r="R14" s="36">
        <f ca="1" t="shared" si="10"/>
        <v>0.28449474</v>
      </c>
      <c r="S14" s="36">
        <f ca="1" t="shared" si="10"/>
        <v>0.073626336</v>
      </c>
      <c r="T14" s="36">
        <f ca="1" t="shared" si="10"/>
        <v>0.28334574</v>
      </c>
      <c r="U14" s="37"/>
      <c r="V14" s="35" t="s">
        <v>313</v>
      </c>
      <c r="W14" s="36">
        <f ca="1" t="shared" ref="W14:Z14" si="11">SUM(W5:W12)</f>
        <v>8.77245075459615</v>
      </c>
      <c r="X14" s="36">
        <f ca="1" t="shared" si="11"/>
        <v>16.00133671225</v>
      </c>
      <c r="Y14" s="36">
        <f ca="1" t="shared" si="11"/>
        <v>15.3101593715</v>
      </c>
      <c r="Z14" s="36">
        <f ca="1" t="shared" si="11"/>
        <v>9.4649629932</v>
      </c>
      <c r="AA14" s="37"/>
      <c r="AB14" s="35" t="s">
        <v>313</v>
      </c>
      <c r="AC14" s="36">
        <f ca="1" t="shared" ref="AC14:AF14" si="12">SUM(AC5:AC12)</f>
        <v>0.450555767125</v>
      </c>
      <c r="AD14" s="36">
        <f ca="1" t="shared" si="12"/>
        <v>1.584299625</v>
      </c>
      <c r="AE14" s="36">
        <f ca="1" t="shared" si="12"/>
        <v>4.649010375</v>
      </c>
      <c r="AF14" s="36">
        <f t="shared" si="12"/>
        <v>0</v>
      </c>
      <c r="AG14" s="37"/>
    </row>
    <row r="15" s="1" customFormat="1" ht="29" customHeight="1" spans="1:33">
      <c r="A15" s="3" t="s">
        <v>295</v>
      </c>
      <c r="B15" s="4"/>
      <c r="C15" s="4"/>
      <c r="D15" s="4"/>
      <c r="E15" s="4"/>
      <c r="F15" s="4"/>
      <c r="G15" s="4"/>
      <c r="H15" s="4"/>
      <c r="I15" s="19"/>
      <c r="J15" s="38" t="str">
        <f>工程量核对表!B8</f>
        <v>水厂工程</v>
      </c>
      <c r="K15" s="39"/>
      <c r="L15" s="39"/>
      <c r="M15" s="39"/>
      <c r="N15" s="39"/>
      <c r="O15" s="40"/>
      <c r="P15" s="38" t="str">
        <f>工程量核对表!B64</f>
        <v>新增两个三米内径水池及附属工程</v>
      </c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40"/>
      <c r="AB15" s="38" t="str">
        <f>工程量核对表!B106</f>
        <v>新增泵房</v>
      </c>
      <c r="AC15" s="39"/>
      <c r="AD15" s="39"/>
      <c r="AE15" s="39"/>
      <c r="AF15" s="39"/>
      <c r="AG15" s="40"/>
    </row>
    <row r="16" s="1" customFormat="1" ht="14" customHeight="1" spans="1:33">
      <c r="A16" s="5" t="s">
        <v>22</v>
      </c>
      <c r="B16" s="6"/>
      <c r="C16" s="6"/>
      <c r="D16" s="6"/>
      <c r="E16" s="6"/>
      <c r="F16" s="6"/>
      <c r="G16" s="6"/>
      <c r="H16" s="6"/>
      <c r="I16" s="20"/>
      <c r="J16" s="21" t="str">
        <f>工程量核对表!B52</f>
        <v>围墙</v>
      </c>
      <c r="K16" s="22"/>
      <c r="L16" s="22"/>
      <c r="M16" s="22"/>
      <c r="N16" s="22"/>
      <c r="O16" s="23"/>
      <c r="P16" s="24" t="str">
        <f>工程量核对表!B65</f>
        <v>闸阀井</v>
      </c>
      <c r="Q16" s="43"/>
      <c r="R16" s="43"/>
      <c r="S16" s="43"/>
      <c r="T16" s="43"/>
      <c r="U16" s="44"/>
      <c r="V16" s="24" t="str">
        <f>工程量核对表!B74</f>
        <v>新建30方清水池</v>
      </c>
      <c r="W16" s="43"/>
      <c r="X16" s="43"/>
      <c r="Y16" s="43"/>
      <c r="Z16" s="43"/>
      <c r="AA16" s="45"/>
      <c r="AB16" s="24" t="str">
        <f>工程量核对表!B106</f>
        <v>新增泵房</v>
      </c>
      <c r="AC16" s="43"/>
      <c r="AD16" s="43"/>
      <c r="AE16" s="43"/>
      <c r="AF16" s="43"/>
      <c r="AG16" s="44"/>
    </row>
    <row r="17" s="1" customFormat="1" ht="20" customHeight="1" spans="1:38">
      <c r="A17" s="7" t="s">
        <v>23</v>
      </c>
      <c r="B17" s="8" t="s">
        <v>296</v>
      </c>
      <c r="C17" s="8" t="s">
        <v>25</v>
      </c>
      <c r="D17" s="9" t="s">
        <v>100</v>
      </c>
      <c r="E17" s="9" t="s">
        <v>297</v>
      </c>
      <c r="F17" s="9"/>
      <c r="G17" s="9"/>
      <c r="H17" s="9"/>
      <c r="I17" s="25"/>
      <c r="J17" s="24" t="s">
        <v>100</v>
      </c>
      <c r="K17" s="41" t="s">
        <v>298</v>
      </c>
      <c r="L17" s="41"/>
      <c r="M17" s="41"/>
      <c r="N17" s="41"/>
      <c r="O17" s="42"/>
      <c r="P17" s="24" t="s">
        <v>100</v>
      </c>
      <c r="Q17" s="41" t="s">
        <v>298</v>
      </c>
      <c r="R17" s="41"/>
      <c r="S17" s="41"/>
      <c r="T17" s="41"/>
      <c r="U17" s="42"/>
      <c r="V17" s="24" t="s">
        <v>100</v>
      </c>
      <c r="W17" s="41" t="s">
        <v>298</v>
      </c>
      <c r="X17" s="41"/>
      <c r="Y17" s="41"/>
      <c r="Z17" s="41"/>
      <c r="AA17" s="46"/>
      <c r="AB17" s="26" t="s">
        <v>100</v>
      </c>
      <c r="AC17" s="9" t="s">
        <v>298</v>
      </c>
      <c r="AD17" s="9"/>
      <c r="AE17" s="9"/>
      <c r="AF17" s="9"/>
      <c r="AG17" s="25"/>
      <c r="AH17" s="51" t="s">
        <v>299</v>
      </c>
      <c r="AI17" s="51"/>
      <c r="AJ17" s="51"/>
      <c r="AK17" s="51"/>
      <c r="AL17" s="51"/>
    </row>
    <row r="18" s="1" customFormat="1" ht="36" customHeight="1" spans="1:38">
      <c r="A18" s="7"/>
      <c r="B18" s="8"/>
      <c r="C18" s="8"/>
      <c r="D18" s="9"/>
      <c r="E18" s="9" t="s">
        <v>300</v>
      </c>
      <c r="F18" s="9" t="s">
        <v>301</v>
      </c>
      <c r="G18" s="9" t="s">
        <v>302</v>
      </c>
      <c r="H18" s="9" t="s">
        <v>303</v>
      </c>
      <c r="I18" s="25" t="s">
        <v>304</v>
      </c>
      <c r="J18" s="26"/>
      <c r="K18" s="9" t="s">
        <v>305</v>
      </c>
      <c r="L18" s="9" t="s">
        <v>301</v>
      </c>
      <c r="M18" s="9" t="s">
        <v>302</v>
      </c>
      <c r="N18" s="9" t="s">
        <v>303</v>
      </c>
      <c r="O18" s="25" t="s">
        <v>304</v>
      </c>
      <c r="P18" s="26"/>
      <c r="Q18" s="9" t="s">
        <v>305</v>
      </c>
      <c r="R18" s="9" t="s">
        <v>301</v>
      </c>
      <c r="S18" s="9" t="s">
        <v>302</v>
      </c>
      <c r="T18" s="9" t="s">
        <v>303</v>
      </c>
      <c r="U18" s="25" t="s">
        <v>304</v>
      </c>
      <c r="V18" s="26"/>
      <c r="W18" s="9" t="s">
        <v>305</v>
      </c>
      <c r="X18" s="9" t="s">
        <v>301</v>
      </c>
      <c r="Y18" s="9" t="s">
        <v>302</v>
      </c>
      <c r="Z18" s="9" t="s">
        <v>303</v>
      </c>
      <c r="AA18" s="47" t="s">
        <v>304</v>
      </c>
      <c r="AB18" s="26"/>
      <c r="AC18" s="9" t="s">
        <v>305</v>
      </c>
      <c r="AD18" s="9" t="s">
        <v>301</v>
      </c>
      <c r="AE18" s="9" t="s">
        <v>302</v>
      </c>
      <c r="AF18" s="9" t="s">
        <v>303</v>
      </c>
      <c r="AG18" s="25" t="s">
        <v>304</v>
      </c>
      <c r="AH18" s="52" t="s">
        <v>305</v>
      </c>
      <c r="AI18" s="53" t="s">
        <v>301</v>
      </c>
      <c r="AJ18" s="53" t="s">
        <v>302</v>
      </c>
      <c r="AK18" s="53" t="s">
        <v>303</v>
      </c>
      <c r="AL18" s="54" t="s">
        <v>304</v>
      </c>
    </row>
    <row r="19" s="1" customFormat="1" ht="14" customHeight="1" spans="1:38">
      <c r="A19" s="10">
        <v>1</v>
      </c>
      <c r="B19" s="11" t="s">
        <v>306</v>
      </c>
      <c r="C19" s="12" t="s">
        <v>62</v>
      </c>
      <c r="D19" s="12">
        <v>1</v>
      </c>
      <c r="E19" s="13">
        <v>350.3576</v>
      </c>
      <c r="F19" s="13">
        <v>0.544</v>
      </c>
      <c r="G19" s="13">
        <v>0.8666</v>
      </c>
      <c r="H19" s="13"/>
      <c r="I19" s="27"/>
      <c r="J19" s="28"/>
      <c r="K19" s="29">
        <f t="shared" ref="K19:K24" si="13">E19*J19/1000</f>
        <v>0</v>
      </c>
      <c r="L19" s="29">
        <f t="shared" ref="L19:L24" si="14">J19*F19</f>
        <v>0</v>
      </c>
      <c r="M19" s="29">
        <f>J19*G19</f>
        <v>0</v>
      </c>
      <c r="N19" s="29"/>
      <c r="O19" s="30"/>
      <c r="P19" s="28">
        <f ca="1">工程量核对表!F70</f>
        <v>0.051875</v>
      </c>
      <c r="Q19" s="29">
        <f ca="1" t="shared" ref="Q19:Q24" si="15">E19*P19/1000</f>
        <v>0.0181748005</v>
      </c>
      <c r="R19" s="29">
        <f ca="1" t="shared" ref="R19:R24" si="16">P19*F19</f>
        <v>0.02822</v>
      </c>
      <c r="S19" s="29">
        <f ca="1">P19*G19</f>
        <v>0.044954875</v>
      </c>
      <c r="T19" s="29"/>
      <c r="U19" s="30"/>
      <c r="V19" s="28"/>
      <c r="W19" s="29">
        <f t="shared" ref="W19:W25" si="17">E19*V19/1000</f>
        <v>0</v>
      </c>
      <c r="X19" s="29">
        <f t="shared" ref="X19:X26" si="18">V19*F19</f>
        <v>0</v>
      </c>
      <c r="Y19" s="29">
        <f>V19*G19</f>
        <v>0</v>
      </c>
      <c r="Z19" s="29"/>
      <c r="AA19" s="48"/>
      <c r="AB19" s="28"/>
      <c r="AC19" s="29">
        <f t="shared" ref="AC19:AC25" si="19">E19*AB19/1000</f>
        <v>0</v>
      </c>
      <c r="AD19" s="29">
        <f t="shared" ref="AD19:AD26" si="20">AB19*F19</f>
        <v>0</v>
      </c>
      <c r="AE19" s="29">
        <f>AB19*G19</f>
        <v>0</v>
      </c>
      <c r="AF19" s="29"/>
      <c r="AG19" s="30"/>
      <c r="AH19" s="55">
        <f ca="1" t="shared" ref="AH19:AL19" si="21">K28+Q28+W28+AC28</f>
        <v>9.9153027865441</v>
      </c>
      <c r="AI19" s="55">
        <f ca="1" t="shared" si="21"/>
        <v>21.1795947563</v>
      </c>
      <c r="AJ19" s="55">
        <f ca="1" t="shared" si="21"/>
        <v>11.9509790232</v>
      </c>
      <c r="AK19" s="55">
        <f ca="1" t="shared" si="21"/>
        <v>16.4016160512</v>
      </c>
      <c r="AL19" s="55">
        <f t="shared" si="21"/>
        <v>0</v>
      </c>
    </row>
    <row r="20" s="1" customFormat="1" ht="14" customHeight="1" spans="1:33">
      <c r="A20" s="10">
        <v>2</v>
      </c>
      <c r="B20" s="11" t="s">
        <v>307</v>
      </c>
      <c r="C20" s="12" t="s">
        <v>62</v>
      </c>
      <c r="D20" s="12">
        <v>1</v>
      </c>
      <c r="E20" s="13">
        <v>375.8161</v>
      </c>
      <c r="F20" s="13">
        <v>0.5219</v>
      </c>
      <c r="G20" s="13">
        <v>0.8666</v>
      </c>
      <c r="H20" s="13"/>
      <c r="I20" s="27"/>
      <c r="J20" s="28">
        <f ca="1">工程量核对表!F57</f>
        <v>3.4884</v>
      </c>
      <c r="K20" s="29">
        <f ca="1" t="shared" si="13"/>
        <v>1.31099688324</v>
      </c>
      <c r="L20" s="29">
        <f ca="1" t="shared" si="14"/>
        <v>1.82059596</v>
      </c>
      <c r="M20" s="29">
        <f ca="1">J20*G20</f>
        <v>3.02304744</v>
      </c>
      <c r="N20" s="29"/>
      <c r="O20" s="30"/>
      <c r="P20" s="28"/>
      <c r="Q20" s="29">
        <f t="shared" si="15"/>
        <v>0</v>
      </c>
      <c r="R20" s="29">
        <f t="shared" si="16"/>
        <v>0</v>
      </c>
      <c r="S20" s="29">
        <f>P20*G20</f>
        <v>0</v>
      </c>
      <c r="T20" s="29"/>
      <c r="U20" s="30"/>
      <c r="V20" s="28">
        <f ca="1">工程量核对表!F79</f>
        <v>3.96739</v>
      </c>
      <c r="W20" s="29">
        <f ca="1" t="shared" si="17"/>
        <v>1.491009036979</v>
      </c>
      <c r="X20" s="29">
        <f ca="1" t="shared" si="18"/>
        <v>2.070580841</v>
      </c>
      <c r="Y20" s="29">
        <f ca="1">V20*G20</f>
        <v>3.438140174</v>
      </c>
      <c r="Z20" s="29"/>
      <c r="AA20" s="48"/>
      <c r="AB20" s="28">
        <f ca="1">工程量核对表!F110</f>
        <v>6.282987</v>
      </c>
      <c r="AC20" s="29">
        <f ca="1" t="shared" si="19"/>
        <v>2.3612476706907</v>
      </c>
      <c r="AD20" s="29">
        <f ca="1" t="shared" si="20"/>
        <v>3.2790909153</v>
      </c>
      <c r="AE20" s="29">
        <f ca="1">AB20*G20</f>
        <v>5.4448365342</v>
      </c>
      <c r="AF20" s="29"/>
      <c r="AG20" s="30"/>
    </row>
    <row r="21" s="1" customFormat="1" ht="14" customHeight="1" spans="1:33">
      <c r="A21" s="10">
        <v>3</v>
      </c>
      <c r="B21" s="11" t="s">
        <v>110</v>
      </c>
      <c r="C21" s="12" t="s">
        <v>62</v>
      </c>
      <c r="D21" s="12">
        <v>1</v>
      </c>
      <c r="E21" s="13">
        <v>66.033</v>
      </c>
      <c r="F21" s="13">
        <v>0.25</v>
      </c>
      <c r="G21" s="13"/>
      <c r="H21" s="13">
        <f>534/1000</f>
        <v>0.534</v>
      </c>
      <c r="I21" s="27"/>
      <c r="J21" s="28">
        <f ca="1">工程量核对表!F56</f>
        <v>16.962928</v>
      </c>
      <c r="K21" s="29">
        <f ca="1" t="shared" si="13"/>
        <v>1.120113024624</v>
      </c>
      <c r="L21" s="29">
        <f ca="1" t="shared" si="14"/>
        <v>4.240732</v>
      </c>
      <c r="M21" s="29"/>
      <c r="N21" s="29">
        <f ca="1">J21*H21</f>
        <v>9.058203552</v>
      </c>
      <c r="O21" s="30"/>
      <c r="P21" s="28">
        <f ca="1">工程量核对表!F69</f>
        <v>0.29624</v>
      </c>
      <c r="Q21" s="29">
        <f ca="1" t="shared" si="15"/>
        <v>0.01956161592</v>
      </c>
      <c r="R21" s="29">
        <f ca="1" t="shared" si="16"/>
        <v>0.07406</v>
      </c>
      <c r="S21" s="29"/>
      <c r="T21" s="29">
        <f ca="1">P21*H21</f>
        <v>0.15819216</v>
      </c>
      <c r="U21" s="30"/>
      <c r="V21" s="28">
        <f ca="1">工程量核对表!F84</f>
        <v>6.8386688</v>
      </c>
      <c r="W21" s="29">
        <f ca="1" t="shared" si="17"/>
        <v>0.4515778168704</v>
      </c>
      <c r="X21" s="29">
        <f ca="1" t="shared" si="18"/>
        <v>1.7096672</v>
      </c>
      <c r="Y21" s="29"/>
      <c r="Z21" s="29">
        <f ca="1">V21*H21</f>
        <v>3.6518491392</v>
      </c>
      <c r="AA21" s="48"/>
      <c r="AB21" s="28">
        <f ca="1">工程量核对表!F111</f>
        <v>6.6168</v>
      </c>
      <c r="AC21" s="29">
        <f ca="1" t="shared" si="19"/>
        <v>0.4369271544</v>
      </c>
      <c r="AD21" s="29">
        <f ca="1" t="shared" si="20"/>
        <v>1.6542</v>
      </c>
      <c r="AE21" s="29"/>
      <c r="AF21" s="29">
        <f ca="1">AB21*H21</f>
        <v>3.5333712</v>
      </c>
      <c r="AG21" s="30"/>
    </row>
    <row r="22" s="1" customFormat="1" ht="14" customHeight="1" spans="1:33">
      <c r="A22" s="10">
        <v>4</v>
      </c>
      <c r="B22" s="14" t="s">
        <v>308</v>
      </c>
      <c r="C22" s="12" t="s">
        <v>62</v>
      </c>
      <c r="D22" s="12">
        <v>1</v>
      </c>
      <c r="E22" s="13">
        <f>34.4/100*261</f>
        <v>89.784</v>
      </c>
      <c r="F22" s="13">
        <f>34.4/100*1.11</f>
        <v>0.38184</v>
      </c>
      <c r="G22" s="13"/>
      <c r="H22" s="13"/>
      <c r="I22" s="27">
        <f>108/100</f>
        <v>1.08</v>
      </c>
      <c r="J22" s="28"/>
      <c r="K22" s="29">
        <f t="shared" si="13"/>
        <v>0</v>
      </c>
      <c r="L22" s="29">
        <f t="shared" si="14"/>
        <v>0</v>
      </c>
      <c r="M22" s="29"/>
      <c r="N22" s="29"/>
      <c r="O22" s="30">
        <f>J22*I22</f>
        <v>0</v>
      </c>
      <c r="P22" s="28"/>
      <c r="Q22" s="29">
        <f t="shared" si="15"/>
        <v>0</v>
      </c>
      <c r="R22" s="29">
        <f t="shared" si="16"/>
        <v>0</v>
      </c>
      <c r="S22" s="29"/>
      <c r="T22" s="29"/>
      <c r="U22" s="30"/>
      <c r="V22" s="28"/>
      <c r="W22" s="29">
        <f t="shared" si="17"/>
        <v>0</v>
      </c>
      <c r="X22" s="29">
        <f t="shared" si="18"/>
        <v>0</v>
      </c>
      <c r="Y22" s="29"/>
      <c r="Z22" s="29"/>
      <c r="AA22" s="48">
        <f>V22*I22</f>
        <v>0</v>
      </c>
      <c r="AB22" s="28"/>
      <c r="AC22" s="29">
        <f t="shared" si="19"/>
        <v>0</v>
      </c>
      <c r="AD22" s="29">
        <f t="shared" si="20"/>
        <v>0</v>
      </c>
      <c r="AE22" s="29"/>
      <c r="AF22" s="29"/>
      <c r="AG22" s="30">
        <f>AB22*I22</f>
        <v>0</v>
      </c>
    </row>
    <row r="23" s="1" customFormat="1" ht="14" customHeight="1" spans="1:33">
      <c r="A23" s="10">
        <v>5</v>
      </c>
      <c r="B23" s="11" t="s">
        <v>116</v>
      </c>
      <c r="C23" s="12" t="s">
        <v>62</v>
      </c>
      <c r="D23" s="12">
        <v>1</v>
      </c>
      <c r="E23" s="13">
        <v>7.717</v>
      </c>
      <c r="F23" s="13">
        <v>0.02</v>
      </c>
      <c r="G23" s="13"/>
      <c r="H23" s="13"/>
      <c r="I23" s="27"/>
      <c r="J23" s="28">
        <f ca="1">工程量核对表!F60</f>
        <v>150.7968</v>
      </c>
      <c r="K23" s="29">
        <f ca="1" t="shared" si="13"/>
        <v>1.1636989056</v>
      </c>
      <c r="L23" s="29">
        <f ca="1" t="shared" si="14"/>
        <v>3.015936</v>
      </c>
      <c r="M23" s="29"/>
      <c r="N23" s="29"/>
      <c r="O23" s="30"/>
      <c r="P23" s="28">
        <f ca="1">工程量核对表!F72</f>
        <v>5.152</v>
      </c>
      <c r="Q23" s="29">
        <f ca="1" t="shared" si="15"/>
        <v>0.039757984</v>
      </c>
      <c r="R23" s="29">
        <f ca="1" t="shared" si="16"/>
        <v>0.10304</v>
      </c>
      <c r="S23" s="29"/>
      <c r="T23" s="29"/>
      <c r="U23" s="30"/>
      <c r="V23" s="28">
        <f ca="1">工程量核对表!F82</f>
        <v>35.08636</v>
      </c>
      <c r="W23" s="29">
        <f ca="1" t="shared" si="17"/>
        <v>0.27076144012</v>
      </c>
      <c r="X23" s="29">
        <f ca="1" t="shared" si="18"/>
        <v>0.7017272</v>
      </c>
      <c r="Y23" s="29"/>
      <c r="Z23" s="29"/>
      <c r="AA23" s="48"/>
      <c r="AB23" s="28">
        <f ca="1">工程量核对表!F112</f>
        <v>55.14</v>
      </c>
      <c r="AC23" s="29">
        <f ca="1" t="shared" si="19"/>
        <v>0.42551538</v>
      </c>
      <c r="AD23" s="29">
        <f ca="1" t="shared" si="20"/>
        <v>1.1028</v>
      </c>
      <c r="AE23" s="29"/>
      <c r="AF23" s="29"/>
      <c r="AG23" s="30"/>
    </row>
    <row r="24" s="1" customFormat="1" ht="14" customHeight="1" spans="1:33">
      <c r="A24" s="10">
        <v>6</v>
      </c>
      <c r="B24" s="11" t="s">
        <v>309</v>
      </c>
      <c r="C24" s="12" t="s">
        <v>117</v>
      </c>
      <c r="D24" s="12">
        <v>1</v>
      </c>
      <c r="E24" s="13">
        <f>403.17/100+99.48/100</f>
        <v>5.0265</v>
      </c>
      <c r="F24" s="13">
        <f>0.77/100+0.09/100</f>
        <v>0.0086</v>
      </c>
      <c r="G24" s="13"/>
      <c r="H24" s="13"/>
      <c r="I24" s="27"/>
      <c r="J24" s="28">
        <f ca="1">工程量核对表!F59</f>
        <v>150.7968</v>
      </c>
      <c r="K24" s="29">
        <f ca="1" t="shared" si="13"/>
        <v>0.7579801152</v>
      </c>
      <c r="L24" s="29">
        <f ca="1" t="shared" si="14"/>
        <v>1.29685248</v>
      </c>
      <c r="M24" s="29"/>
      <c r="N24" s="29"/>
      <c r="O24" s="30"/>
      <c r="P24" s="28"/>
      <c r="Q24" s="29">
        <f t="shared" si="15"/>
        <v>0</v>
      </c>
      <c r="R24" s="29">
        <f t="shared" si="16"/>
        <v>0</v>
      </c>
      <c r="S24" s="29"/>
      <c r="T24" s="29"/>
      <c r="U24" s="30"/>
      <c r="V24" s="28">
        <f ca="1">工程量核对表!F83</f>
        <v>9.5456</v>
      </c>
      <c r="W24" s="29">
        <f ca="1" t="shared" si="17"/>
        <v>0.0479809584</v>
      </c>
      <c r="X24" s="29">
        <f ca="1" t="shared" si="18"/>
        <v>0.08209216</v>
      </c>
      <c r="Y24" s="29"/>
      <c r="Z24" s="29"/>
      <c r="AA24" s="48"/>
      <c r="AB24" s="28"/>
      <c r="AC24" s="29">
        <f t="shared" si="19"/>
        <v>0</v>
      </c>
      <c r="AD24" s="29">
        <f t="shared" si="20"/>
        <v>0</v>
      </c>
      <c r="AE24" s="29"/>
      <c r="AF24" s="29"/>
      <c r="AG24" s="30"/>
    </row>
    <row r="25" s="1" customFormat="1" ht="14" customHeight="1" spans="1:33">
      <c r="A25" s="10">
        <v>7</v>
      </c>
      <c r="B25" s="14" t="s">
        <v>310</v>
      </c>
      <c r="C25" s="12" t="s">
        <v>117</v>
      </c>
      <c r="D25" s="12">
        <v>1</v>
      </c>
      <c r="E25" s="13">
        <v>52.043</v>
      </c>
      <c r="F25" s="13">
        <v>0.081</v>
      </c>
      <c r="G25" s="13">
        <v>0.129</v>
      </c>
      <c r="H25" s="13"/>
      <c r="I25" s="27"/>
      <c r="J25" s="28"/>
      <c r="K25" s="29"/>
      <c r="L25" s="29"/>
      <c r="M25" s="29"/>
      <c r="N25" s="29"/>
      <c r="O25" s="30"/>
      <c r="P25" s="28"/>
      <c r="Q25" s="29"/>
      <c r="R25" s="29"/>
      <c r="S25" s="29"/>
      <c r="T25" s="29"/>
      <c r="U25" s="30"/>
      <c r="V25" s="28"/>
      <c r="W25" s="29">
        <f t="shared" si="17"/>
        <v>0</v>
      </c>
      <c r="X25" s="29">
        <f t="shared" si="18"/>
        <v>0</v>
      </c>
      <c r="Y25" s="29">
        <f>V25*G25</f>
        <v>0</v>
      </c>
      <c r="Z25" s="29"/>
      <c r="AA25" s="48"/>
      <c r="AB25" s="28"/>
      <c r="AC25" s="29">
        <f t="shared" si="19"/>
        <v>0</v>
      </c>
      <c r="AD25" s="29">
        <f t="shared" si="20"/>
        <v>0</v>
      </c>
      <c r="AE25" s="29">
        <f>AB25*G25</f>
        <v>0</v>
      </c>
      <c r="AF25" s="29"/>
      <c r="AG25" s="30"/>
    </row>
    <row r="26" s="1" customFormat="1" ht="14" customHeight="1" spans="1:33">
      <c r="A26" s="10">
        <v>8</v>
      </c>
      <c r="B26" s="11" t="s">
        <v>311</v>
      </c>
      <c r="C26" s="12" t="s">
        <v>62</v>
      </c>
      <c r="D26" s="12">
        <v>1</v>
      </c>
      <c r="E26" s="15"/>
      <c r="F26" s="16">
        <v>0.204</v>
      </c>
      <c r="G26" s="16">
        <v>0.816</v>
      </c>
      <c r="H26" s="16"/>
      <c r="I26" s="31"/>
      <c r="J26" s="28"/>
      <c r="K26" s="29"/>
      <c r="L26" s="32"/>
      <c r="M26" s="32"/>
      <c r="N26" s="32"/>
      <c r="O26" s="33"/>
      <c r="P26" s="28"/>
      <c r="Q26" s="29"/>
      <c r="R26" s="29"/>
      <c r="S26" s="29"/>
      <c r="T26" s="32"/>
      <c r="U26" s="33"/>
      <c r="V26" s="28"/>
      <c r="W26" s="29"/>
      <c r="X26" s="29">
        <f t="shared" si="18"/>
        <v>0</v>
      </c>
      <c r="Y26" s="29">
        <f>V26*G26</f>
        <v>0</v>
      </c>
      <c r="Z26" s="32"/>
      <c r="AA26" s="49"/>
      <c r="AB26" s="28"/>
      <c r="AC26" s="29"/>
      <c r="AD26" s="29">
        <f t="shared" si="20"/>
        <v>0</v>
      </c>
      <c r="AE26" s="29">
        <f>AB26*G26</f>
        <v>0</v>
      </c>
      <c r="AF26" s="32"/>
      <c r="AG26" s="33"/>
    </row>
    <row r="27" s="1" customFormat="1" ht="14" customHeight="1" spans="1:33">
      <c r="A27" s="10">
        <v>9</v>
      </c>
      <c r="B27" s="11" t="s">
        <v>312</v>
      </c>
      <c r="C27" s="12" t="s">
        <v>62</v>
      </c>
      <c r="D27" s="12">
        <v>1</v>
      </c>
      <c r="E27" s="15">
        <v>284.83</v>
      </c>
      <c r="F27" s="16">
        <v>0.56</v>
      </c>
      <c r="G27" s="16">
        <v>0.84</v>
      </c>
      <c r="H27" s="16"/>
      <c r="I27" s="31"/>
      <c r="J27" s="28"/>
      <c r="K27" s="29"/>
      <c r="L27" s="32"/>
      <c r="M27" s="32"/>
      <c r="N27" s="32"/>
      <c r="O27" s="33"/>
      <c r="P27" s="28"/>
      <c r="Q27" s="29"/>
      <c r="R27" s="29"/>
      <c r="S27" s="29"/>
      <c r="T27" s="32"/>
      <c r="U27" s="33"/>
      <c r="V27" s="28"/>
      <c r="W27" s="29"/>
      <c r="X27" s="29"/>
      <c r="Y27" s="32"/>
      <c r="Z27" s="32"/>
      <c r="AA27" s="49"/>
      <c r="AB27" s="28"/>
      <c r="AC27" s="29"/>
      <c r="AD27" s="29"/>
      <c r="AE27" s="32"/>
      <c r="AF27" s="32"/>
      <c r="AG27" s="33"/>
    </row>
    <row r="28" s="1" customFormat="1" ht="14" customHeight="1" spans="1:33">
      <c r="A28" s="17"/>
      <c r="B28" s="18"/>
      <c r="C28" s="18"/>
      <c r="D28" s="18"/>
      <c r="E28" s="18"/>
      <c r="F28" s="18"/>
      <c r="G28" s="18"/>
      <c r="H28" s="18"/>
      <c r="I28" s="34"/>
      <c r="J28" s="35" t="s">
        <v>313</v>
      </c>
      <c r="K28" s="36">
        <f ca="1" t="shared" ref="K28:O28" si="22">SUM(K19:K27)</f>
        <v>4.352788928664</v>
      </c>
      <c r="L28" s="36">
        <f ca="1" t="shared" si="22"/>
        <v>10.37411644</v>
      </c>
      <c r="M28" s="36">
        <f ca="1" t="shared" si="22"/>
        <v>3.02304744</v>
      </c>
      <c r="N28" s="36">
        <f ca="1" t="shared" si="22"/>
        <v>9.058203552</v>
      </c>
      <c r="O28" s="36">
        <f t="shared" si="22"/>
        <v>0</v>
      </c>
      <c r="P28" s="35" t="s">
        <v>313</v>
      </c>
      <c r="Q28" s="36">
        <f ca="1" t="shared" ref="Q28:U28" si="23">SUM(Q19:Q26)</f>
        <v>0.07749440042</v>
      </c>
      <c r="R28" s="36">
        <f ca="1" t="shared" si="23"/>
        <v>0.20532</v>
      </c>
      <c r="S28" s="36">
        <f ca="1" t="shared" si="23"/>
        <v>0.044954875</v>
      </c>
      <c r="T28" s="36">
        <f ca="1" t="shared" si="23"/>
        <v>0.15819216</v>
      </c>
      <c r="U28" s="36">
        <f t="shared" si="23"/>
        <v>0</v>
      </c>
      <c r="V28" s="35" t="s">
        <v>313</v>
      </c>
      <c r="W28" s="36">
        <f ca="1" t="shared" ref="W28:AA28" si="24">SUM(W19:W26)</f>
        <v>2.2613292523694</v>
      </c>
      <c r="X28" s="36">
        <f ca="1" t="shared" si="24"/>
        <v>4.564067401</v>
      </c>
      <c r="Y28" s="36">
        <f ca="1" t="shared" si="24"/>
        <v>3.438140174</v>
      </c>
      <c r="Z28" s="36">
        <f ca="1" t="shared" si="24"/>
        <v>3.6518491392</v>
      </c>
      <c r="AA28" s="50">
        <f t="shared" si="24"/>
        <v>0</v>
      </c>
      <c r="AB28" s="35" t="s">
        <v>313</v>
      </c>
      <c r="AC28" s="36">
        <f ca="1" t="shared" ref="AC28:AG28" si="25">SUM(AC19:AC26)</f>
        <v>3.2236902050907</v>
      </c>
      <c r="AD28" s="36">
        <f ca="1" t="shared" si="25"/>
        <v>6.0360909153</v>
      </c>
      <c r="AE28" s="36">
        <f ca="1" t="shared" si="25"/>
        <v>5.4448365342</v>
      </c>
      <c r="AF28" s="36">
        <f ca="1" t="shared" si="25"/>
        <v>3.5333712</v>
      </c>
      <c r="AG28" s="56">
        <f t="shared" si="25"/>
        <v>0</v>
      </c>
    </row>
  </sheetData>
  <mergeCells count="44">
    <mergeCell ref="A1:I1"/>
    <mergeCell ref="J1:AG1"/>
    <mergeCell ref="A2:I2"/>
    <mergeCell ref="J2:O2"/>
    <mergeCell ref="P2:U2"/>
    <mergeCell ref="V2:AA2"/>
    <mergeCell ref="AB2:AG2"/>
    <mergeCell ref="E3:I3"/>
    <mergeCell ref="K3:O3"/>
    <mergeCell ref="Q3:U3"/>
    <mergeCell ref="W3:AA3"/>
    <mergeCell ref="AC3:AG3"/>
    <mergeCell ref="AH3:AL3"/>
    <mergeCell ref="A15:I15"/>
    <mergeCell ref="J15:O15"/>
    <mergeCell ref="P15:AA15"/>
    <mergeCell ref="AB15:AG15"/>
    <mergeCell ref="A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H17:AL17"/>
    <mergeCell ref="A3:A4"/>
    <mergeCell ref="A17:A18"/>
    <mergeCell ref="B3:B4"/>
    <mergeCell ref="B17:B18"/>
    <mergeCell ref="C3:C4"/>
    <mergeCell ref="C17:C18"/>
    <mergeCell ref="D3:D4"/>
    <mergeCell ref="D17:D18"/>
    <mergeCell ref="J3:J4"/>
    <mergeCell ref="J17:J18"/>
    <mergeCell ref="P3:P4"/>
    <mergeCell ref="P17:P18"/>
    <mergeCell ref="V3:V4"/>
    <mergeCell ref="V17:V18"/>
    <mergeCell ref="AB3:AB4"/>
    <mergeCell ref="AB17:AB18"/>
  </mergeCells>
  <pageMargins left="0.75" right="0.75" top="1" bottom="1" header="0.5" footer="0.5"/>
  <pageSetup paperSize="9" scale="5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封面 </vt:lpstr>
      <vt:lpstr>汇总表</vt:lpstr>
      <vt:lpstr>结算审核明细表</vt:lpstr>
      <vt:lpstr>工程量核对表</vt:lpstr>
      <vt:lpstr>工程量计算稿</vt:lpstr>
      <vt:lpstr>二转材料统计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高山流水</cp:lastModifiedBy>
  <dcterms:created xsi:type="dcterms:W3CDTF">2018-05-26T08:12:00Z</dcterms:created>
  <cp:lastPrinted>2019-01-30T08:22:00Z</cp:lastPrinted>
  <dcterms:modified xsi:type="dcterms:W3CDTF">2024-07-13T12:32:51Z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eadingLayout">
    <vt:bool>true</vt:bool>
  </property>
  <property fmtid="{D5CDD505-2E9C-101B-9397-08002B2CF9AE}" pid="4" name="ICV">
    <vt:lpwstr>E07B57A4169E460D9391E002623D2990_13</vt:lpwstr>
  </property>
  <property fmtid="{D5CDD505-2E9C-101B-9397-08002B2CF9AE}" pid="5" name="commondata">
    <vt:lpwstr>eyJoZGlkIjoiNjY0ZTcwMjc5NmU1NmVjMjEyMmZhM2ZhZTAwY2U5YmUifQ==</vt:lpwstr>
  </property>
</Properties>
</file>