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245" firstSheet="1" activeTab="1"/>
  </bookViews>
  <sheets>
    <sheet name="附件5" sheetId="2" state="hidden" r:id="rId1"/>
    <sheet name="封面 " sheetId="6" r:id="rId2"/>
    <sheet name="结算审核表" sheetId="1" r:id="rId3"/>
    <sheet name="工程量清单表" sheetId="3" state="hidden" r:id="rId4"/>
    <sheet name="二次转运材料汇总表" sheetId="4" r:id="rId5"/>
  </sheets>
  <externalReferences>
    <externalReference r:id="rId6"/>
    <externalReference r:id="rId7"/>
    <externalReference r:id="rId8"/>
  </externalReferences>
  <definedNames>
    <definedName name="_xlnm._FilterDatabase" localSheetId="2" hidden="1">结算审核表!$A$6:$O$96</definedName>
    <definedName name="_xlnm._FilterDatabase" localSheetId="3" hidden="1">工程量清单表!$A$3:$L$76</definedName>
    <definedName name="x">EVALUATE(SUBSTITUTE(SUBSTITUTE([3]计算底稿!$F1,"[","*ISTEXT(""["),"]","]"")"))</definedName>
    <definedName name="_xlnm.Print_Titles" localSheetId="2">结算审核表!$1:$4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<sst xmlns="http://schemas.openxmlformats.org/spreadsheetml/2006/main" count="789" uniqueCount="196">
  <si>
    <t>附件5:</t>
  </si>
  <si>
    <t>南江县 燕山 乡（镇） 燕山 村农村饮水安全工程竣工结算汇总表</t>
  </si>
  <si>
    <t>工程名称：南江县燕山乡燕山村饮水安全工程                                                                                             合同号：</t>
  </si>
  <si>
    <t>建设单位：南江县燕山乡燕山村村民委员会                              施工单位：四川省南江鹏达有限公司                                   编号：</t>
  </si>
  <si>
    <t>序号</t>
  </si>
  <si>
    <t>工程项目及名称</t>
  </si>
  <si>
    <t>单位</t>
  </si>
  <si>
    <t>签约合同价（元）</t>
  </si>
  <si>
    <t>实际完成清单（元）</t>
  </si>
  <si>
    <t>施工增加（+）（元）</t>
  </si>
  <si>
    <t>施工减少（—）（元）</t>
  </si>
  <si>
    <t>备     注</t>
  </si>
  <si>
    <t>第一部分 建筑工程</t>
  </si>
  <si>
    <t>项</t>
  </si>
  <si>
    <t>一</t>
  </si>
  <si>
    <t>楂口石梁蓄水池工程</t>
  </si>
  <si>
    <t>二</t>
  </si>
  <si>
    <t>闸阀房</t>
  </si>
  <si>
    <t>三</t>
  </si>
  <si>
    <t>管理用房</t>
  </si>
  <si>
    <t>四</t>
  </si>
  <si>
    <t>管理用房附属</t>
  </si>
  <si>
    <t>第二部分：金属结构（塑材）、设备</t>
  </si>
  <si>
    <t>金属结构、设备</t>
  </si>
  <si>
    <t>供水管网安装</t>
  </si>
  <si>
    <t>自购管材PE部分</t>
  </si>
  <si>
    <t>自购管材热镀锌钢管部分</t>
  </si>
  <si>
    <t>五</t>
  </si>
  <si>
    <t>供水管道延伸</t>
  </si>
  <si>
    <t>六</t>
  </si>
  <si>
    <t>库房领取管材</t>
  </si>
  <si>
    <t>第三部分：探测设计费</t>
  </si>
  <si>
    <t>合        计</t>
  </si>
  <si>
    <t xml:space="preserve"> 
乡（镇）代表：                                     建设单位代表：                                    施工单位代表：          </t>
  </si>
  <si>
    <t/>
  </si>
  <si>
    <t>南江县燕山乡燕山村饮水安全工程</t>
  </si>
  <si>
    <t>结算审计复核情况公示</t>
  </si>
  <si>
    <t>签约合同价(小写):</t>
  </si>
  <si>
    <t>(大写):</t>
  </si>
  <si>
    <t>竣工结算价(小写):</t>
  </si>
  <si>
    <t>结    算
多计金额（小写):</t>
  </si>
  <si>
    <t>发　包　人:</t>
  </si>
  <si>
    <t>南江县八庙镇燕山村村民委员会</t>
  </si>
  <si>
    <t>承　包　人:</t>
  </si>
  <si>
    <t>四川省南江鹏达有限公司</t>
  </si>
  <si>
    <t>造价咨询人:</t>
  </si>
  <si>
    <t>成都恒沣建设项目管理有限公司</t>
  </si>
  <si>
    <t>(单位盖章)</t>
  </si>
  <si>
    <t>法定代表人
或其授权人:</t>
  </si>
  <si>
    <t xml:space="preserve"> </t>
  </si>
  <si>
    <t>(签字或盖章)</t>
  </si>
  <si>
    <t>复 核 单 位:</t>
  </si>
  <si>
    <t>南江县审计局</t>
  </si>
  <si>
    <t>复　核　人:</t>
  </si>
  <si>
    <t xml:space="preserve">
复 核 时 间:</t>
  </si>
  <si>
    <t>南江县燕山乡燕山村饮水安全工程竣工结算审核表</t>
  </si>
  <si>
    <t xml:space="preserve">工程名称：南江县燕山乡燕山村饮水安全工程                                                                                                </t>
  </si>
  <si>
    <t>设计预算</t>
  </si>
  <si>
    <t>结算情况</t>
  </si>
  <si>
    <t>审核情况</t>
  </si>
  <si>
    <t>竣工结算审增（减）情况</t>
  </si>
  <si>
    <t>备注</t>
  </si>
  <si>
    <t>工程量</t>
  </si>
  <si>
    <t>单价(元)</t>
  </si>
  <si>
    <t>合计(元)</t>
  </si>
  <si>
    <t>工程量增减</t>
  </si>
  <si>
    <t>工程费用增减（元）</t>
  </si>
  <si>
    <t>土方开挖</t>
  </si>
  <si>
    <t>m3</t>
  </si>
  <si>
    <t>石方开挖</t>
  </si>
  <si>
    <t>土石方回填</t>
  </si>
  <si>
    <t>C25砼 2级配32.5水泥 粒径40mm</t>
  </si>
  <si>
    <t>m7.5砌砖</t>
  </si>
  <si>
    <t>木模制安</t>
  </si>
  <si>
    <t>m2</t>
  </si>
  <si>
    <t>钢筋制安</t>
  </si>
  <si>
    <t>kg</t>
  </si>
  <si>
    <t>M10砂浆抹面</t>
  </si>
  <si>
    <t>墙面瓷砖粘贴</t>
  </si>
  <si>
    <t>人力二次转运材料（运距600m）</t>
  </si>
  <si>
    <t>吨/km</t>
  </si>
  <si>
    <t>滤料采购及人力二次转运材料</t>
  </si>
  <si>
    <t>大门</t>
  </si>
  <si>
    <t>栋</t>
  </si>
  <si>
    <t>杀毒器</t>
  </si>
  <si>
    <t>台</t>
  </si>
  <si>
    <t>爬梯</t>
  </si>
  <si>
    <t>套</t>
  </si>
  <si>
    <t>闸阀井</t>
  </si>
  <si>
    <t>处</t>
  </si>
  <si>
    <t>减压阀</t>
  </si>
  <si>
    <t>个</t>
  </si>
  <si>
    <t>新增1</t>
  </si>
  <si>
    <t>骡马平地运输水泥600m</t>
  </si>
  <si>
    <t>t</t>
  </si>
  <si>
    <t>新增2</t>
  </si>
  <si>
    <t>骡马平地运输砂600m</t>
  </si>
  <si>
    <t>新增3</t>
  </si>
  <si>
    <t>骡马平地运输碎砾石600m</t>
  </si>
  <si>
    <t>新增4</t>
  </si>
  <si>
    <t>骡马平地运输页岩砖600m</t>
  </si>
  <si>
    <t>千匹</t>
  </si>
  <si>
    <t>新增5</t>
  </si>
  <si>
    <t>骡马平地运输钢筋600m</t>
  </si>
  <si>
    <t>镀锌方钢门</t>
  </si>
  <si>
    <t>樘</t>
  </si>
  <si>
    <t>实木套装门</t>
  </si>
  <si>
    <t>门面刷漆（铁锈红漆）</t>
  </si>
  <si>
    <t>铝合金窗</t>
  </si>
  <si>
    <t>内墙面乳胶漆</t>
  </si>
  <si>
    <t>杀毒器电力线</t>
  </si>
  <si>
    <t>m</t>
  </si>
  <si>
    <t>水泵电力线及电力设施</t>
  </si>
  <si>
    <t>抽水泵（230m）</t>
  </si>
  <si>
    <t>通气进人孔</t>
  </si>
  <si>
    <t>DN63mmPE管安装（供水主管）</t>
  </si>
  <si>
    <t>DN50mmPE管安装（供水主管）</t>
  </si>
  <si>
    <t>DN40mmPE管安装（供水主管）</t>
  </si>
  <si>
    <t>DN32mmPE管安装（供水主管）</t>
  </si>
  <si>
    <t>DN25mmPE管安装（供水主管）</t>
  </si>
  <si>
    <t>DN20mmPE管安装（下户管）</t>
  </si>
  <si>
    <t>DN65热镀锌钢管（4.0mm）</t>
  </si>
  <si>
    <t>PE管配件</t>
  </si>
  <si>
    <t>元</t>
  </si>
  <si>
    <t>管配件（管材总额的8.5%）</t>
  </si>
  <si>
    <t>65钢管（4.0mm）</t>
  </si>
  <si>
    <t>钢弯</t>
  </si>
  <si>
    <t>65钢质闸阀（25kg）压力</t>
  </si>
  <si>
    <t>只</t>
  </si>
  <si>
    <t>高压法兰片</t>
  </si>
  <si>
    <t>张</t>
  </si>
  <si>
    <t>高压钢垫</t>
  </si>
  <si>
    <t>人工安装费</t>
  </si>
  <si>
    <t>螺杆（Φ12）</t>
  </si>
  <si>
    <t>颗</t>
  </si>
  <si>
    <t>主水管焊接及人工运输费</t>
  </si>
  <si>
    <t>新增</t>
  </si>
  <si>
    <t>管沟土方开挖</t>
  </si>
  <si>
    <t>管配件PE（管材总额的8.5%）</t>
  </si>
  <si>
    <t>第三部分：勘察设计费</t>
  </si>
  <si>
    <t>工程总投资</t>
  </si>
  <si>
    <t>甲供PE管材管件费</t>
  </si>
  <si>
    <t>勘察设计费</t>
  </si>
  <si>
    <t>按竞争性谈判报价下浮比例让利1.63%</t>
  </si>
  <si>
    <t>结算总价</t>
  </si>
  <si>
    <r>
      <rPr>
        <b/>
        <sz val="18"/>
        <color rgb="FF000000"/>
        <rFont val="方正小标宋简体"/>
        <charset val="134"/>
      </rPr>
      <t>南江县</t>
    </r>
    <r>
      <rPr>
        <b/>
        <u/>
        <sz val="18"/>
        <color rgb="FF000000"/>
        <rFont val="方正小标宋简体"/>
        <charset val="134"/>
      </rPr>
      <t xml:space="preserve"> 燕山 </t>
    </r>
    <r>
      <rPr>
        <b/>
        <sz val="18"/>
        <color rgb="FF000000"/>
        <rFont val="方正小标宋简体"/>
        <charset val="134"/>
      </rPr>
      <t>乡（镇）</t>
    </r>
    <r>
      <rPr>
        <b/>
        <u/>
        <sz val="18"/>
        <color rgb="FF000000"/>
        <rFont val="方正小标宋简体"/>
        <charset val="134"/>
      </rPr>
      <t xml:space="preserve"> 燕山 </t>
    </r>
    <r>
      <rPr>
        <b/>
        <sz val="18"/>
        <color rgb="FF000000"/>
        <rFont val="方正小标宋简体"/>
        <charset val="134"/>
      </rPr>
      <t>村农村饮水安全工程清单表</t>
    </r>
  </si>
  <si>
    <t>工程名称：南江县燕山乡燕山村饮水安全工程                                                                                                     合同号：</t>
  </si>
  <si>
    <t xml:space="preserve">建设单位：南江县燕山乡燕山村村民委员会                              施工单位：四川省南江鹏达有限公司                                         共    页第    页 </t>
  </si>
  <si>
    <t>设计预算工程量清单及造价</t>
  </si>
  <si>
    <t>实际完成工程量清单及造价</t>
  </si>
  <si>
    <t>工程价款增减</t>
  </si>
  <si>
    <t>（+，-）</t>
  </si>
  <si>
    <t>（+，-）元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</si>
  <si>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</si>
  <si>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</si>
  <si>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</si>
  <si>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</si>
  <si>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</si>
  <si>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</si>
  <si>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</si>
  <si>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</si>
  <si>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</si>
  <si>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</si>
  <si>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</si>
  <si>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</si>
  <si>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</t>
  </si>
  <si>
    <t>合计</t>
  </si>
  <si>
    <t>m³</t>
  </si>
  <si>
    <t>㎡</t>
  </si>
  <si>
    <t>二次转运材料汇总表</t>
  </si>
  <si>
    <t xml:space="preserve">单项工程名称：南江县双流镇黄垭村农村供水工程 </t>
  </si>
  <si>
    <t>项目名称</t>
  </si>
  <si>
    <t>水泥转运量 单位：t</t>
  </si>
  <si>
    <t>砂转运量 单位：m3</t>
  </si>
  <si>
    <t>石转运量 单位：m3</t>
  </si>
  <si>
    <t>砖转运量
单位：千匹</t>
  </si>
  <si>
    <t>钢筋转运量
单位：t</t>
  </si>
  <si>
    <t>C20砼</t>
  </si>
  <si>
    <t>C25砼</t>
  </si>
  <si>
    <t>M7.5水泥砂浆</t>
  </si>
  <si>
    <t>M10水泥砂浆</t>
  </si>
  <si>
    <t>页岩砖</t>
  </si>
  <si>
    <t>单位耗量
289kg/m3</t>
  </si>
  <si>
    <t>单位耗量
310kg/m3</t>
  </si>
  <si>
    <t>单位耗量
261kg/m3</t>
  </si>
  <si>
    <t>单位耗量
305kg/m3</t>
  </si>
  <si>
    <t>单位耗量
0.49m3/m3</t>
  </si>
  <si>
    <t>单位耗量
0.47m3/m3</t>
  </si>
  <si>
    <t>单位耗量
1.11m3/m3</t>
  </si>
  <si>
    <t>单位耗量
1.1m3/m3</t>
  </si>
  <si>
    <t>单位耗量
0.81m3/m3</t>
  </si>
  <si>
    <t>单位耗量
0.534千匹/m3</t>
  </si>
  <si>
    <t>C20混凝土浇筑</t>
  </si>
  <si>
    <t>-</t>
  </si>
  <si>
    <t>C25混凝土浇筑</t>
  </si>
  <si>
    <t>小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</si>
</sst>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_);[Red]\(0.000\)"/>
    <numFmt numFmtId="179" formatCode="0_ "/>
    <numFmt numFmtId="180" formatCode="[DBNum2][$RMB]General;[Red][DBNum2][$RMB]General"/>
    <numFmt numFmtId="181" formatCode="0.0000_ "/>
  </numFmts>
  <fonts count="67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10"/>
      <color indexed="0"/>
      <name val="宋体"/>
      <charset val="134"/>
    </font>
    <font>
      <b/>
      <sz val="10"/>
      <color indexed="0"/>
      <name val="宋体"/>
      <charset val="134"/>
    </font>
    <font>
      <b/>
      <sz val="10"/>
      <color indexed="0"/>
      <name val="黑体"/>
      <charset val="134"/>
    </font>
    <font>
      <sz val="11"/>
      <name val="宋体"/>
      <charset val="134"/>
    </font>
    <font>
      <b/>
      <sz val="18"/>
      <color rgb="FF000000"/>
      <name val="方正小标宋简体"/>
      <charset val="134"/>
    </font>
    <font>
      <b/>
      <sz val="18"/>
      <color indexed="8"/>
      <name val="方正小标宋简体"/>
      <charset val="134"/>
    </font>
    <font>
      <b/>
      <sz val="18"/>
      <name val="方正小标宋简体"/>
      <charset val="134"/>
    </font>
    <font>
      <sz val="10"/>
      <color indexed="8"/>
      <name val="方正小标宋简体"/>
      <charset val="134"/>
    </font>
    <font>
      <b/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1"/>
      <name val="宋体"/>
      <charset val="134"/>
      <scheme val="major"/>
    </font>
    <font>
      <sz val="11"/>
      <name val="宋体"/>
      <charset val="134"/>
      <scheme val="major"/>
    </font>
    <font>
      <sz val="10"/>
      <name val="宋体"/>
      <charset val="134"/>
      <scheme val="major"/>
    </font>
    <font>
      <sz val="10"/>
      <name val="宋体"/>
      <charset val="134"/>
      <scheme val="minor"/>
    </font>
    <font>
      <sz val="9"/>
      <color indexed="8"/>
      <name val="方正小标宋简体"/>
      <charset val="134"/>
    </font>
    <font>
      <b/>
      <sz val="9"/>
      <color indexed="8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b/>
      <sz val="9"/>
      <color indexed="0"/>
      <name val="黑体"/>
      <charset val="134"/>
    </font>
    <font>
      <b/>
      <sz val="9"/>
      <name val="宋体"/>
      <charset val="134"/>
      <scheme val="major"/>
    </font>
    <font>
      <sz val="9"/>
      <name val="宋体"/>
      <charset val="134"/>
      <scheme val="major"/>
    </font>
    <font>
      <sz val="9"/>
      <name val="宋体"/>
      <charset val="134"/>
      <scheme val="minor"/>
    </font>
    <font>
      <sz val="12"/>
      <color indexed="8"/>
      <name val="宋体"/>
      <charset val="134"/>
    </font>
    <font>
      <sz val="12"/>
      <color indexed="8"/>
      <name val="仿宋_GB2312"/>
      <charset val="134"/>
    </font>
    <font>
      <sz val="22"/>
      <color indexed="0"/>
      <name val="宋体"/>
      <charset val="134"/>
    </font>
    <font>
      <b/>
      <sz val="14"/>
      <color indexed="0"/>
      <name val="宋体"/>
      <charset val="134"/>
    </font>
    <font>
      <b/>
      <sz val="20"/>
      <color indexed="0"/>
      <name val="宋体"/>
      <charset val="134"/>
    </font>
    <font>
      <sz val="12"/>
      <color indexed="0"/>
      <name val="仿宋_GB2312"/>
      <charset val="134"/>
    </font>
    <font>
      <sz val="11"/>
      <color indexed="0"/>
      <name val="仿宋_GB2312"/>
      <charset val="134"/>
    </font>
    <font>
      <sz val="14"/>
      <color indexed="0"/>
      <name val="仿宋_GB2312"/>
      <charset val="134"/>
    </font>
    <font>
      <sz val="10"/>
      <color indexed="0"/>
      <name val="仿宋_GB2312"/>
      <charset val="134"/>
    </font>
    <font>
      <sz val="12"/>
      <color indexed="0"/>
      <name val="宋体"/>
      <charset val="134"/>
    </font>
    <font>
      <sz val="11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8"/>
      <color rgb="FF000000"/>
      <name val="方正小标宋简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13" applyNumberFormat="0" applyFill="0" applyAlignment="0" applyProtection="0">
      <alignment vertical="center"/>
    </xf>
    <xf numFmtId="0" fontId="53" fillId="0" borderId="13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6" borderId="15" applyNumberFormat="0" applyAlignment="0" applyProtection="0">
      <alignment vertical="center"/>
    </xf>
    <xf numFmtId="0" fontId="56" fillId="7" borderId="16" applyNumberFormat="0" applyAlignment="0" applyProtection="0">
      <alignment vertical="center"/>
    </xf>
    <xf numFmtId="0" fontId="57" fillId="7" borderId="15" applyNumberFormat="0" applyAlignment="0" applyProtection="0">
      <alignment vertical="center"/>
    </xf>
    <xf numFmtId="0" fontId="58" fillId="8" borderId="17" applyNumberFormat="0" applyAlignment="0" applyProtection="0">
      <alignment vertical="center"/>
    </xf>
    <xf numFmtId="0" fontId="59" fillId="0" borderId="18" applyNumberFormat="0" applyFill="0" applyAlignment="0" applyProtection="0">
      <alignment vertical="center"/>
    </xf>
    <xf numFmtId="0" fontId="60" fillId="0" borderId="19" applyNumberFormat="0" applyFill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2" fillId="10" borderId="0" applyNumberFormat="0" applyBorder="0" applyAlignment="0" applyProtection="0">
      <alignment vertical="center"/>
    </xf>
    <xf numFmtId="0" fontId="63" fillId="11" borderId="0" applyNumberFormat="0" applyBorder="0" applyAlignment="0" applyProtection="0">
      <alignment vertical="center"/>
    </xf>
    <xf numFmtId="0" fontId="64" fillId="12" borderId="0" applyNumberFormat="0" applyBorder="0" applyAlignment="0" applyProtection="0">
      <alignment vertical="center"/>
    </xf>
    <xf numFmtId="0" fontId="65" fillId="13" borderId="0" applyNumberFormat="0" applyBorder="0" applyAlignment="0" applyProtection="0">
      <alignment vertical="center"/>
    </xf>
    <xf numFmtId="0" fontId="65" fillId="14" borderId="0" applyNumberFormat="0" applyBorder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0" fontId="64" fillId="16" borderId="0" applyNumberFormat="0" applyBorder="0" applyAlignment="0" applyProtection="0">
      <alignment vertical="center"/>
    </xf>
    <xf numFmtId="0" fontId="65" fillId="17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64" fillId="19" borderId="0" applyNumberFormat="0" applyBorder="0" applyAlignment="0" applyProtection="0">
      <alignment vertical="center"/>
    </xf>
    <xf numFmtId="0" fontId="64" fillId="20" borderId="0" applyNumberFormat="0" applyBorder="0" applyAlignment="0" applyProtection="0">
      <alignment vertical="center"/>
    </xf>
    <xf numFmtId="0" fontId="65" fillId="21" borderId="0" applyNumberFormat="0" applyBorder="0" applyAlignment="0" applyProtection="0">
      <alignment vertical="center"/>
    </xf>
    <xf numFmtId="0" fontId="65" fillId="22" borderId="0" applyNumberFormat="0" applyBorder="0" applyAlignment="0" applyProtection="0">
      <alignment vertical="center"/>
    </xf>
    <xf numFmtId="0" fontId="64" fillId="23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0" fontId="65" fillId="26" borderId="0" applyNumberFormat="0" applyBorder="0" applyAlignment="0" applyProtection="0">
      <alignment vertical="center"/>
    </xf>
    <xf numFmtId="0" fontId="64" fillId="27" borderId="0" applyNumberFormat="0" applyBorder="0" applyAlignment="0" applyProtection="0">
      <alignment vertical="center"/>
    </xf>
    <xf numFmtId="0" fontId="64" fillId="28" borderId="0" applyNumberFormat="0" applyBorder="0" applyAlignment="0" applyProtection="0">
      <alignment vertical="center"/>
    </xf>
    <xf numFmtId="0" fontId="65" fillId="29" borderId="0" applyNumberFormat="0" applyBorder="0" applyAlignment="0" applyProtection="0">
      <alignment vertical="center"/>
    </xf>
    <xf numFmtId="0" fontId="65" fillId="30" borderId="0" applyNumberFormat="0" applyBorder="0" applyAlignment="0" applyProtection="0">
      <alignment vertical="center"/>
    </xf>
    <xf numFmtId="0" fontId="64" fillId="31" borderId="0" applyNumberFormat="0" applyBorder="0" applyAlignment="0" applyProtection="0">
      <alignment vertical="center"/>
    </xf>
    <xf numFmtId="0" fontId="64" fillId="32" borderId="0" applyNumberFormat="0" applyBorder="0" applyAlignment="0" applyProtection="0">
      <alignment vertical="center"/>
    </xf>
    <xf numFmtId="0" fontId="65" fillId="33" borderId="0" applyNumberFormat="0" applyBorder="0" applyAlignment="0" applyProtection="0">
      <alignment vertical="center"/>
    </xf>
    <xf numFmtId="0" fontId="65" fillId="34" borderId="0" applyNumberFormat="0" applyBorder="0" applyAlignment="0" applyProtection="0">
      <alignment vertical="center"/>
    </xf>
    <xf numFmtId="0" fontId="64" fillId="35" borderId="0" applyNumberFormat="0" applyBorder="0" applyAlignment="0" applyProtection="0">
      <alignment vertical="center"/>
    </xf>
    <xf numFmtId="0" fontId="10" fillId="0" borderId="0">
      <protection locked="0"/>
    </xf>
    <xf numFmtId="0" fontId="3" fillId="0" borderId="0">
      <alignment vertical="center"/>
    </xf>
    <xf numFmtId="0" fontId="36" fillId="0" borderId="0"/>
    <xf numFmtId="0" fontId="3" fillId="0" borderId="0"/>
    <xf numFmtId="0" fontId="10" fillId="0" borderId="0">
      <protection locked="0"/>
    </xf>
  </cellStyleXfs>
  <cellXfs count="176">
    <xf numFmtId="0" fontId="0" fillId="0" borderId="0" xfId="0">
      <alignment vertical="center"/>
    </xf>
    <xf numFmtId="176" fontId="1" fillId="0" borderId="0" xfId="50" applyNumberFormat="1" applyFont="1" applyAlignment="1">
      <alignment horizontal="center" vertical="center"/>
    </xf>
    <xf numFmtId="176" fontId="1" fillId="0" borderId="0" xfId="50" applyNumberFormat="1" applyFont="1" applyAlignment="1">
      <alignment horizontal="left" vertical="center"/>
    </xf>
    <xf numFmtId="176" fontId="2" fillId="0" borderId="0" xfId="50" applyNumberFormat="1" applyFont="1" applyAlignment="1">
      <alignment horizontal="center" vertical="center"/>
    </xf>
    <xf numFmtId="0" fontId="3" fillId="0" borderId="0" xfId="50">
      <alignment vertical="center"/>
    </xf>
    <xf numFmtId="177" fontId="4" fillId="0" borderId="0" xfId="50" applyNumberFormat="1" applyFont="1" applyAlignment="1">
      <alignment horizontal="center" vertical="center"/>
    </xf>
    <xf numFmtId="49" fontId="1" fillId="0" borderId="0" xfId="50" applyNumberFormat="1" applyFont="1" applyAlignment="1">
      <alignment horizontal="center" vertical="center"/>
    </xf>
    <xf numFmtId="49" fontId="1" fillId="0" borderId="0" xfId="50" applyNumberFormat="1" applyFont="1" applyAlignment="1">
      <alignment horizontal="left" vertical="center" wrapText="1"/>
    </xf>
    <xf numFmtId="0" fontId="1" fillId="0" borderId="0" xfId="50" applyFont="1" applyAlignment="1">
      <alignment horizontal="center" vertical="center" wrapText="1"/>
    </xf>
    <xf numFmtId="177" fontId="1" fillId="0" borderId="0" xfId="50" applyNumberFormat="1" applyFont="1" applyAlignment="1">
      <alignment horizontal="center" vertical="center"/>
    </xf>
    <xf numFmtId="0" fontId="1" fillId="0" borderId="0" xfId="50" applyFont="1" applyAlignment="1">
      <alignment horizontal="center" vertical="center"/>
    </xf>
    <xf numFmtId="0" fontId="5" fillId="0" borderId="0" xfId="50" applyFont="1" applyAlignment="1">
      <alignment horizontal="center" vertical="center"/>
    </xf>
    <xf numFmtId="0" fontId="1" fillId="0" borderId="1" xfId="50" applyFont="1" applyBorder="1" applyAlignment="1">
      <alignment horizontal="left" vertical="center"/>
    </xf>
    <xf numFmtId="0" fontId="2" fillId="0" borderId="1" xfId="50" applyFont="1" applyBorder="1" applyAlignment="1">
      <alignment horizontal="left" vertical="center" wrapText="1"/>
    </xf>
    <xf numFmtId="0" fontId="2" fillId="0" borderId="1" xfId="50" applyFont="1" applyBorder="1" applyAlignment="1">
      <alignment horizontal="left" vertical="center"/>
    </xf>
    <xf numFmtId="0" fontId="6" fillId="0" borderId="2" xfId="50" applyFont="1" applyBorder="1" applyAlignment="1">
      <alignment horizontal="center" vertical="center"/>
    </xf>
    <xf numFmtId="176" fontId="6" fillId="0" borderId="3" xfId="50" applyNumberFormat="1" applyFont="1" applyBorder="1" applyAlignment="1">
      <alignment horizontal="center" vertical="center" wrapText="1"/>
    </xf>
    <xf numFmtId="176" fontId="6" fillId="0" borderId="3" xfId="50" applyNumberFormat="1" applyFont="1" applyBorder="1" applyAlignment="1">
      <alignment horizontal="center" vertical="center"/>
    </xf>
    <xf numFmtId="176" fontId="6" fillId="0" borderId="2" xfId="50" applyNumberFormat="1" applyFont="1" applyBorder="1" applyAlignment="1">
      <alignment horizontal="center" vertical="center"/>
    </xf>
    <xf numFmtId="176" fontId="6" fillId="0" borderId="4" xfId="50" applyNumberFormat="1" applyFont="1" applyBorder="1" applyAlignment="1">
      <alignment horizontal="center" vertical="center"/>
    </xf>
    <xf numFmtId="176" fontId="6" fillId="0" borderId="5" xfId="50" applyNumberFormat="1" applyFont="1" applyBorder="1" applyAlignment="1">
      <alignment horizontal="center" vertical="center"/>
    </xf>
    <xf numFmtId="176" fontId="6" fillId="0" borderId="6" xfId="50" applyNumberFormat="1" applyFont="1" applyBorder="1" applyAlignment="1">
      <alignment horizontal="center" vertical="center"/>
    </xf>
    <xf numFmtId="0" fontId="6" fillId="0" borderId="7" xfId="50" applyFont="1" applyBorder="1" applyAlignment="1">
      <alignment horizontal="center" vertical="center"/>
    </xf>
    <xf numFmtId="176" fontId="6" fillId="0" borderId="7" xfId="50" applyNumberFormat="1" applyFont="1" applyBorder="1" applyAlignment="1">
      <alignment horizontal="center" vertical="center"/>
    </xf>
    <xf numFmtId="0" fontId="6" fillId="0" borderId="8" xfId="50" applyFont="1" applyBorder="1" applyAlignment="1">
      <alignment horizontal="center" vertical="center"/>
    </xf>
    <xf numFmtId="176" fontId="6" fillId="0" borderId="8" xfId="50" applyNumberFormat="1" applyFont="1" applyBorder="1" applyAlignment="1">
      <alignment horizontal="center" vertical="center"/>
    </xf>
    <xf numFmtId="0" fontId="2" fillId="0" borderId="3" xfId="50" applyFont="1" applyBorder="1" applyAlignment="1">
      <alignment horizontal="center" vertical="center"/>
    </xf>
    <xf numFmtId="176" fontId="2" fillId="0" borderId="3" xfId="50" applyNumberFormat="1" applyFont="1" applyBorder="1" applyAlignment="1">
      <alignment horizontal="center" vertical="center" wrapText="1"/>
    </xf>
    <xf numFmtId="176" fontId="2" fillId="0" borderId="3" xfId="50" applyNumberFormat="1" applyFont="1" applyBorder="1" applyAlignment="1">
      <alignment horizontal="center" vertical="center"/>
    </xf>
    <xf numFmtId="2" fontId="1" fillId="0" borderId="3" xfId="50" applyNumberFormat="1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/>
    </xf>
    <xf numFmtId="176" fontId="1" fillId="0" borderId="3" xfId="50" applyNumberFormat="1" applyFont="1" applyBorder="1" applyAlignment="1">
      <alignment horizontal="left" vertical="center" wrapText="1"/>
    </xf>
    <xf numFmtId="176" fontId="1" fillId="0" borderId="3" xfId="50" applyNumberFormat="1" applyFont="1" applyBorder="1" applyAlignment="1">
      <alignment horizontal="center" vertical="center"/>
    </xf>
    <xf numFmtId="178" fontId="1" fillId="0" borderId="3" xfId="50" applyNumberFormat="1" applyFont="1" applyBorder="1" applyAlignment="1">
      <alignment horizontal="center" vertical="center"/>
    </xf>
    <xf numFmtId="177" fontId="2" fillId="2" borderId="3" xfId="50" applyNumberFormat="1" applyFont="1" applyFill="1" applyBorder="1" applyAlignment="1">
      <alignment horizontal="center" vertical="center"/>
    </xf>
    <xf numFmtId="177" fontId="2" fillId="2" borderId="3" xfId="50" applyNumberFormat="1" applyFont="1" applyFill="1" applyBorder="1" applyAlignment="1">
      <alignment horizontal="center" vertical="center" wrapText="1"/>
    </xf>
    <xf numFmtId="49" fontId="1" fillId="3" borderId="3" xfId="50" applyNumberFormat="1" applyFont="1" applyFill="1" applyBorder="1" applyAlignment="1">
      <alignment horizontal="center" vertical="center"/>
    </xf>
    <xf numFmtId="0" fontId="1" fillId="3" borderId="3" xfId="50" applyFont="1" applyFill="1" applyBorder="1" applyAlignment="1">
      <alignment horizontal="center" vertical="center" wrapText="1"/>
    </xf>
    <xf numFmtId="177" fontId="1" fillId="3" borderId="3" xfId="50" applyNumberFormat="1" applyFont="1" applyFill="1" applyBorder="1" applyAlignment="1">
      <alignment horizontal="center" vertical="center"/>
    </xf>
    <xf numFmtId="176" fontId="6" fillId="0" borderId="9" xfId="50" applyNumberFormat="1" applyFont="1" applyBorder="1" applyAlignment="1">
      <alignment horizontal="center" vertical="center"/>
    </xf>
    <xf numFmtId="176" fontId="6" fillId="0" borderId="10" xfId="50" applyNumberFormat="1" applyFont="1" applyBorder="1" applyAlignment="1">
      <alignment horizontal="center" vertical="center"/>
    </xf>
    <xf numFmtId="176" fontId="6" fillId="0" borderId="11" xfId="50" applyNumberFormat="1" applyFont="1" applyBorder="1" applyAlignment="1">
      <alignment horizontal="center" vertical="center"/>
    </xf>
    <xf numFmtId="176" fontId="6" fillId="0" borderId="11" xfId="50" applyNumberFormat="1" applyFont="1" applyBorder="1" applyAlignment="1">
      <alignment horizontal="center" vertical="center" wrapText="1"/>
    </xf>
    <xf numFmtId="2" fontId="1" fillId="0" borderId="3" xfId="52" applyNumberFormat="1" applyFont="1" applyBorder="1" applyAlignment="1">
      <alignment horizontal="center" vertical="center" wrapText="1"/>
    </xf>
    <xf numFmtId="177" fontId="1" fillId="0" borderId="0" xfId="50" applyNumberFormat="1" applyFont="1" applyAlignment="1">
      <alignment horizontal="left" vertical="center"/>
    </xf>
    <xf numFmtId="0" fontId="0" fillId="0" borderId="0" xfId="0" applyBorder="1">
      <alignment vertical="center"/>
    </xf>
    <xf numFmtId="0" fontId="7" fillId="0" borderId="0" xfId="0" applyFont="1" applyFill="1" applyBorder="1" applyAlignment="1" applyProtection="1"/>
    <xf numFmtId="0" fontId="8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49" fontId="10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protection locked="0"/>
    </xf>
    <xf numFmtId="49" fontId="10" fillId="0" borderId="0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177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3" xfId="49" applyFont="1" applyFill="1" applyBorder="1" applyAlignment="1" applyProtection="1">
      <alignment horizontal="center" vertical="center" wrapText="1"/>
    </xf>
    <xf numFmtId="2" fontId="15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49" applyFont="1" applyFill="1" applyBorder="1" applyAlignment="1" applyProtection="1">
      <alignment horizontal="center" vertical="center" wrapText="1"/>
    </xf>
    <xf numFmtId="0" fontId="18" fillId="0" borderId="3" xfId="49" applyFont="1" applyFill="1" applyBorder="1" applyAlignment="1" applyProtection="1">
      <alignment horizontal="center" vertical="center" wrapText="1"/>
    </xf>
    <xf numFmtId="177" fontId="18" fillId="0" borderId="3" xfId="49" applyNumberFormat="1" applyFont="1" applyFill="1" applyBorder="1" applyAlignment="1" applyProtection="1">
      <alignment horizontal="center" vertical="center" wrapText="1"/>
    </xf>
    <xf numFmtId="177" fontId="19" fillId="0" borderId="3" xfId="0" applyNumberFormat="1" applyFont="1" applyFill="1" applyBorder="1" applyAlignment="1" applyProtection="1">
      <alignment horizontal="center" vertical="center" wrapText="1"/>
    </xf>
    <xf numFmtId="177" fontId="10" fillId="0" borderId="3" xfId="49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top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2" fontId="19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49" applyFont="1" applyFill="1" applyBorder="1" applyAlignment="1" applyProtection="1">
      <alignment horizontal="center" vertical="center" wrapText="1"/>
    </xf>
    <xf numFmtId="0" fontId="18" fillId="0" borderId="3" xfId="49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177" fontId="8" fillId="0" borderId="0" xfId="0" applyNumberFormat="1" applyFont="1" applyFill="1" applyBorder="1" applyAlignment="1" applyProtection="1"/>
    <xf numFmtId="0" fontId="9" fillId="0" borderId="3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177" fontId="16" fillId="0" borderId="0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10" fillId="4" borderId="3" xfId="49" applyFont="1" applyFill="1" applyBorder="1" applyAlignment="1" applyProtection="1">
      <alignment horizontal="center" vertical="center" wrapText="1"/>
    </xf>
    <xf numFmtId="177" fontId="16" fillId="0" borderId="3" xfId="0" applyNumberFormat="1" applyFont="1" applyFill="1" applyBorder="1" applyAlignment="1" applyProtection="1">
      <alignment horizontal="center" vertical="center"/>
    </xf>
    <xf numFmtId="0" fontId="6" fillId="4" borderId="3" xfId="49" applyFont="1" applyFill="1" applyBorder="1" applyAlignment="1" applyProtection="1">
      <alignment horizontal="center" vertical="center" wrapText="1"/>
    </xf>
    <xf numFmtId="0" fontId="18" fillId="4" borderId="3" xfId="49" applyFont="1" applyFill="1" applyBorder="1" applyAlignment="1" applyProtection="1">
      <alignment horizontal="center" vertical="center" wrapText="1"/>
    </xf>
    <xf numFmtId="177" fontId="17" fillId="0" borderId="3" xfId="49" applyNumberFormat="1" applyFont="1" applyFill="1" applyBorder="1" applyAlignment="1" applyProtection="1">
      <alignment horizontal="center" vertical="center" wrapText="1"/>
    </xf>
    <xf numFmtId="177" fontId="17" fillId="4" borderId="3" xfId="49" applyNumberFormat="1" applyFont="1" applyFill="1" applyBorder="1" applyAlignment="1" applyProtection="1">
      <alignment horizontal="center" vertical="center" wrapText="1"/>
    </xf>
    <xf numFmtId="179" fontId="18" fillId="0" borderId="3" xfId="49" applyNumberFormat="1" applyFont="1" applyFill="1" applyBorder="1" applyAlignment="1" applyProtection="1">
      <alignment horizontal="center" vertical="center" wrapText="1"/>
    </xf>
    <xf numFmtId="2" fontId="20" fillId="0" borderId="0" xfId="0" applyNumberFormat="1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/>
    </xf>
    <xf numFmtId="0" fontId="17" fillId="0" borderId="9" xfId="49" applyFont="1" applyFill="1" applyBorder="1" applyAlignment="1" applyProtection="1">
      <alignment horizontal="center" vertical="center" wrapText="1"/>
    </xf>
    <xf numFmtId="0" fontId="17" fillId="0" borderId="11" xfId="49" applyFont="1" applyFill="1" applyBorder="1" applyAlignment="1" applyProtection="1">
      <alignment horizontal="center" vertical="center" wrapText="1"/>
    </xf>
    <xf numFmtId="0" fontId="23" fillId="0" borderId="3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left" vertical="center" wrapText="1"/>
    </xf>
    <xf numFmtId="49" fontId="25" fillId="0" borderId="3" xfId="0" applyNumberFormat="1" applyFont="1" applyFill="1" applyBorder="1" applyAlignment="1" applyProtection="1">
      <alignment horizontal="center" vertical="center" wrapText="1"/>
    </xf>
    <xf numFmtId="0" fontId="25" fillId="0" borderId="3" xfId="0" applyFont="1" applyFill="1" applyBorder="1" applyAlignment="1" applyProtection="1">
      <alignment horizontal="center" vertical="center" wrapText="1"/>
    </xf>
    <xf numFmtId="0" fontId="26" fillId="0" borderId="3" xfId="0" applyFont="1" applyFill="1" applyBorder="1" applyAlignment="1" applyProtection="1">
      <alignment horizontal="center" vertical="center" wrapText="1"/>
    </xf>
    <xf numFmtId="0" fontId="25" fillId="0" borderId="3" xfId="0" applyNumberFormat="1" applyFont="1" applyFill="1" applyBorder="1" applyAlignment="1" applyProtection="1">
      <alignment horizontal="center" vertical="center" wrapText="1"/>
    </xf>
    <xf numFmtId="0" fontId="26" fillId="0" borderId="3" xfId="0" applyNumberFormat="1" applyFont="1" applyFill="1" applyBorder="1" applyAlignment="1" applyProtection="1">
      <alignment horizontal="center" vertical="center" wrapText="1"/>
    </xf>
    <xf numFmtId="0" fontId="27" fillId="0" borderId="3" xfId="49" applyFont="1" applyFill="1" applyBorder="1" applyAlignment="1" applyProtection="1">
      <alignment horizontal="center" vertical="center" wrapText="1"/>
    </xf>
    <xf numFmtId="0" fontId="27" fillId="0" borderId="3" xfId="49" applyFont="1" applyFill="1" applyBorder="1" applyAlignment="1" applyProtection="1">
      <alignment horizontal="right" vertical="center" wrapText="1"/>
    </xf>
    <xf numFmtId="2" fontId="25" fillId="0" borderId="3" xfId="0" applyNumberFormat="1" applyFont="1" applyFill="1" applyBorder="1" applyAlignment="1" applyProtection="1">
      <alignment horizontal="right" vertical="center" wrapText="1"/>
    </xf>
    <xf numFmtId="0" fontId="28" fillId="0" borderId="3" xfId="49" applyFont="1" applyFill="1" applyBorder="1" applyAlignment="1" applyProtection="1">
      <alignment horizontal="right" vertical="center" wrapText="1"/>
    </xf>
    <xf numFmtId="0" fontId="27" fillId="0" borderId="3" xfId="49" applyFont="1" applyFill="1" applyBorder="1" applyAlignment="1" applyProtection="1">
      <alignment horizontal="left" vertical="center" wrapText="1"/>
    </xf>
    <xf numFmtId="0" fontId="29" fillId="0" borderId="3" xfId="49" applyFont="1" applyFill="1" applyBorder="1" applyAlignment="1" applyProtection="1">
      <alignment horizontal="center" vertical="center" wrapText="1"/>
    </xf>
    <xf numFmtId="0" fontId="29" fillId="0" borderId="3" xfId="49" applyFont="1" applyFill="1" applyBorder="1" applyAlignment="1" applyProtection="1">
      <alignment horizontal="left" vertical="center" wrapText="1"/>
    </xf>
    <xf numFmtId="177" fontId="29" fillId="0" borderId="3" xfId="49" applyNumberFormat="1" applyFont="1" applyFill="1" applyBorder="1" applyAlignment="1" applyProtection="1">
      <alignment horizontal="right" vertical="center" wrapText="1"/>
    </xf>
    <xf numFmtId="177" fontId="30" fillId="0" borderId="3" xfId="0" applyNumberFormat="1" applyFont="1" applyFill="1" applyBorder="1" applyAlignment="1" applyProtection="1">
      <alignment horizontal="right" vertical="center" wrapText="1"/>
    </xf>
    <xf numFmtId="177" fontId="31" fillId="0" borderId="3" xfId="49" applyNumberFormat="1" applyFont="1" applyFill="1" applyBorder="1" applyAlignment="1" applyProtection="1">
      <alignment horizontal="right" vertical="center" wrapText="1"/>
    </xf>
    <xf numFmtId="0" fontId="31" fillId="0" borderId="3" xfId="0" applyFont="1" applyFill="1" applyBorder="1" applyAlignment="1" applyProtection="1">
      <alignment horizontal="left" vertical="center" wrapText="1"/>
      <protection locked="0"/>
    </xf>
    <xf numFmtId="0" fontId="29" fillId="0" borderId="3" xfId="49" applyFont="1" applyFill="1" applyBorder="1" applyAlignment="1" applyProtection="1">
      <alignment horizontal="right" vertical="center" wrapText="1"/>
    </xf>
    <xf numFmtId="2" fontId="30" fillId="0" borderId="3" xfId="0" applyNumberFormat="1" applyFont="1" applyFill="1" applyBorder="1" applyAlignment="1" applyProtection="1">
      <alignment horizontal="right" vertical="center" wrapText="1"/>
    </xf>
    <xf numFmtId="0" fontId="31" fillId="0" borderId="3" xfId="49" applyFont="1" applyFill="1" applyBorder="1" applyAlignment="1" applyProtection="1">
      <alignment horizontal="right" vertical="center" wrapText="1"/>
    </xf>
    <xf numFmtId="0" fontId="25" fillId="0" borderId="9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horizontal="center" vertical="center" wrapText="1"/>
    </xf>
    <xf numFmtId="0" fontId="32" fillId="0" borderId="3" xfId="0" applyFont="1" applyFill="1" applyBorder="1" applyAlignment="1" applyProtection="1">
      <alignment horizontal="center" vertical="center"/>
    </xf>
    <xf numFmtId="177" fontId="25" fillId="0" borderId="3" xfId="0" applyNumberFormat="1" applyFont="1" applyFill="1" applyBorder="1" applyAlignment="1" applyProtection="1">
      <alignment horizontal="right" vertical="center" wrapText="1"/>
    </xf>
    <xf numFmtId="0" fontId="31" fillId="0" borderId="3" xfId="0" applyFont="1" applyFill="1" applyBorder="1" applyAlignment="1" applyProtection="1">
      <alignment horizontal="center" vertical="center" wrapText="1"/>
    </xf>
    <xf numFmtId="177" fontId="26" fillId="0" borderId="3" xfId="0" applyNumberFormat="1" applyFont="1" applyFill="1" applyBorder="1" applyAlignment="1" applyProtection="1">
      <alignment horizontal="right" vertical="center"/>
    </xf>
    <xf numFmtId="177" fontId="27" fillId="0" borderId="3" xfId="49" applyNumberFormat="1" applyFont="1" applyFill="1" applyBorder="1" applyAlignment="1" applyProtection="1">
      <alignment horizontal="right" vertical="center" wrapText="1"/>
    </xf>
    <xf numFmtId="179" fontId="29" fillId="0" borderId="3" xfId="49" applyNumberFormat="1" applyFont="1" applyFill="1" applyBorder="1" applyAlignment="1" applyProtection="1">
      <alignment horizontal="right" vertical="center" wrapText="1"/>
    </xf>
    <xf numFmtId="2" fontId="33" fillId="0" borderId="0" xfId="0" applyNumberFormat="1" applyFont="1" applyFill="1" applyBorder="1" applyAlignment="1" applyProtection="1">
      <alignment horizontal="right" vertical="center"/>
    </xf>
    <xf numFmtId="0" fontId="34" fillId="0" borderId="3" xfId="0" applyFont="1" applyFill="1" applyBorder="1" applyAlignment="1" applyProtection="1">
      <alignment horizontal="right" vertical="center"/>
    </xf>
    <xf numFmtId="0" fontId="34" fillId="0" borderId="3" xfId="0" applyFont="1" applyFill="1" applyBorder="1" applyAlignment="1" applyProtection="1">
      <alignment horizontal="right"/>
    </xf>
    <xf numFmtId="0" fontId="27" fillId="0" borderId="9" xfId="49" applyFont="1" applyFill="1" applyBorder="1" applyAlignment="1" applyProtection="1">
      <alignment horizontal="center" vertical="center" wrapText="1"/>
    </xf>
    <xf numFmtId="0" fontId="27" fillId="0" borderId="11" xfId="49" applyFont="1" applyFill="1" applyBorder="1" applyAlignment="1" applyProtection="1">
      <alignment horizontal="center" vertical="center" wrapText="1"/>
    </xf>
    <xf numFmtId="177" fontId="26" fillId="0" borderId="3" xfId="0" applyNumberFormat="1" applyFont="1" applyFill="1" applyBorder="1" applyAlignment="1" applyProtection="1">
      <alignment horizontal="right" vertical="center" wrapText="1"/>
    </xf>
    <xf numFmtId="0" fontId="35" fillId="0" borderId="3" xfId="0" applyFont="1" applyFill="1" applyBorder="1" applyAlignment="1" applyProtection="1">
      <alignment horizontal="center" vertical="center" wrapText="1"/>
    </xf>
    <xf numFmtId="2" fontId="33" fillId="0" borderId="3" xfId="0" applyNumberFormat="1" applyFont="1" applyFill="1" applyBorder="1" applyAlignment="1" applyProtection="1">
      <alignment horizontal="right" vertical="center"/>
    </xf>
    <xf numFmtId="177" fontId="30" fillId="0" borderId="3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/>
    <xf numFmtId="0" fontId="37" fillId="0" borderId="0" xfId="0" applyFont="1" applyFill="1" applyBorder="1" applyAlignment="1"/>
    <xf numFmtId="0" fontId="38" fillId="0" borderId="0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left" wrapText="1"/>
    </xf>
    <xf numFmtId="177" fontId="42" fillId="0" borderId="1" xfId="0" applyNumberFormat="1" applyFont="1" applyFill="1" applyBorder="1" applyAlignment="1">
      <alignment horizontal="center" wrapText="1"/>
    </xf>
    <xf numFmtId="0" fontId="42" fillId="0" borderId="1" xfId="0" applyFont="1" applyFill="1" applyBorder="1" applyAlignment="1">
      <alignment horizontal="center" wrapText="1"/>
    </xf>
    <xf numFmtId="0" fontId="43" fillId="0" borderId="0" xfId="0" applyFont="1" applyFill="1" applyBorder="1" applyAlignment="1">
      <alignment horizontal="left" wrapText="1"/>
    </xf>
    <xf numFmtId="0" fontId="44" fillId="0" borderId="0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left" wrapText="1"/>
    </xf>
    <xf numFmtId="0" fontId="45" fillId="0" borderId="0" xfId="0" applyFont="1" applyFill="1" applyBorder="1" applyAlignment="1">
      <alignment horizontal="left" wrapText="1"/>
    </xf>
    <xf numFmtId="0" fontId="46" fillId="0" borderId="0" xfId="0" applyFont="1" applyFill="1" applyBorder="1" applyAlignment="1">
      <alignment horizontal="left" wrapText="1"/>
    </xf>
    <xf numFmtId="0" fontId="44" fillId="0" borderId="0" xfId="0" applyFont="1" applyFill="1" applyBorder="1" applyAlignment="1">
      <alignment horizontal="center" wrapText="1"/>
    </xf>
    <xf numFmtId="180" fontId="42" fillId="0" borderId="1" xfId="0" applyNumberFormat="1" applyFont="1" applyFill="1" applyBorder="1" applyAlignment="1">
      <alignment horizontal="center" wrapText="1"/>
    </xf>
    <xf numFmtId="0" fontId="39" fillId="0" borderId="0" xfId="0" applyFont="1" applyFill="1" applyBorder="1" applyAlignment="1">
      <alignment horizontal="left" wrapText="1"/>
    </xf>
    <xf numFmtId="0" fontId="46" fillId="0" borderId="0" xfId="0" applyFont="1" applyFill="1" applyBorder="1" applyAlignment="1">
      <alignment horizontal="right" wrapText="1"/>
    </xf>
    <xf numFmtId="0" fontId="10" fillId="0" borderId="0" xfId="0" applyFont="1" applyFill="1" applyAlignment="1" applyProtection="1">
      <protection locked="0"/>
    </xf>
    <xf numFmtId="0" fontId="7" fillId="0" borderId="0" xfId="0" applyFont="1" applyFill="1" applyAlignment="1" applyProtection="1"/>
    <xf numFmtId="0" fontId="9" fillId="0" borderId="0" xfId="0" applyFont="1" applyFill="1" applyAlignment="1" applyProtection="1"/>
    <xf numFmtId="49" fontId="10" fillId="0" borderId="0" xfId="0" applyNumberFormat="1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left" vertical="center"/>
      <protection locked="0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177" fontId="10" fillId="0" borderId="3" xfId="0" applyNumberFormat="1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77" fontId="10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49" fontId="10" fillId="0" borderId="0" xfId="0" applyNumberFormat="1" applyFont="1" applyFill="1" applyAlignment="1" applyProtection="1">
      <alignment horizontal="left" vertical="top" wrapText="1"/>
      <protection locked="0"/>
    </xf>
    <xf numFmtId="49" fontId="10" fillId="0" borderId="0" xfId="0" applyNumberFormat="1" applyFont="1" applyFill="1" applyAlignment="1" applyProtection="1">
      <alignment horizontal="left" vertical="top"/>
      <protection locked="0"/>
    </xf>
    <xf numFmtId="177" fontId="10" fillId="0" borderId="0" xfId="0" applyNumberFormat="1" applyFont="1" applyFill="1" applyAlignment="1" applyProtection="1">
      <alignment horizontal="center"/>
      <protection locked="0"/>
    </xf>
    <xf numFmtId="0" fontId="16" fillId="0" borderId="0" xfId="0" applyFont="1" applyFill="1" applyAlignment="1" applyProtection="1">
      <alignment horizontal="center" vertical="center"/>
    </xf>
    <xf numFmtId="177" fontId="16" fillId="0" borderId="0" xfId="0" applyNumberFormat="1" applyFont="1" applyFill="1" applyAlignment="1" applyProtection="1">
      <alignment horizontal="center" vertical="center"/>
    </xf>
    <xf numFmtId="181" fontId="9" fillId="0" borderId="0" xfId="0" applyNumberFormat="1" applyFont="1" applyFill="1" applyAlignment="1" applyProtection="1"/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2" xfId="51"/>
    <cellStyle name="常规 4" xfId="52"/>
    <cellStyle name="常规 4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3.xml"/><Relationship Id="rId7" Type="http://schemas.openxmlformats.org/officeDocument/2006/relationships/externalLink" Target="externalLinks/externalLink2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37;&#31243;\&#21335;&#27743;\&#23433;&#20840;&#39278;&#27700;\&#23433;&#20840;&#39278;&#27700;&#23457;&#35745;\&#21452;&#27969;&#40644;&#23045;&#26449;&#39278;&#27700;&#23433;&#20840;\&#21335;&#27743;&#21439;&#21452;&#27969;&#21439;&#40644;&#23045;&#26449;&#39278;&#27700;&#23433;&#20840;&#24037;&#31243;\&#40644;&#22445;&#26449;&#32467;&#3163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7.18\&#26032;&#24314;&#25991;&#20214;&#22841;\&#24037;&#20316;\&#21335;&#27743;\&#23433;&#20840;&#39278;&#27700;\&#23433;&#20840;&#39278;&#27700;&#23457;&#35745;\&#21335;&#27743;&#38215;&#26126;&#26376;&#26449;\&#26126;&#26376;&#26449;&#24037;&#31243;&#37327;&#28165;&#21333;(&#35774;&#22791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2467;&#31639;&#25991;&#20214;&#22841;&#65288;&#26032;&#65289;\2021&#24180;&#24230;\&#21335;&#27743;&#21439;&#23457;&#35745;&#23616;&#12304;&#23457;&#35745;&#22797;&#26680;&#12305;&#25991;&#20214;&#22841;\&#39278;&#27700;&#23433;&#20840;&#39033;&#30446;\&#23457;&#35745;&#22797;&#26680;&#24213;&#31295;\&#22235;&#24029;&#22825;&#25104;\10&#12289;&#21335;&#27743;&#21439;&#27491;&#30452;&#38215;&#28023;&#22378;&#26449;&#39278;&#27700;&#23433;&#20840;&#24037;&#31243;&#65288;20230525&#65289;\&#21335;&#27743;&#21439;&#27491;&#30452;&#38215;&#28023;&#22378;&#26449;&#39278;&#27700;&#23433;&#20840;&#24037;&#31243;&#65288;&#32467;&#31639;&#23457;&#35745;&#22797;&#26680;&#24773;&#20917;&#20844;&#31034;&#21450;&#38468;&#34920;&#65289;\&#21335;&#27743;&#21439;&#19996;&#27014;&#38215;&#21516;&#24515;&#26449;&#39278;&#27700;&#23433;&#20840;&#24037;&#31243;&#32467;&#31639;&#23457;&#35745;&#22797;&#26680;&#24773;&#20917;&#20844;&#31034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工程量"/>
      <sheetName val="C.4 工程项目竣工结算总价扉页(扉-4)"/>
      <sheetName val="工程造价"/>
      <sheetName val="二次转运材料汇总表"/>
      <sheetName val="Sheet1"/>
    </sheetNames>
    <sheetDataSet>
      <sheetData sheetId="0" refreshError="1"/>
      <sheetData sheetId="1" refreshError="1"/>
      <sheetData sheetId="2">
        <row r="14">
          <cell r="B14" t="str">
            <v>m7.5砌砖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.4 工程项目竣工结算总价扉页(扉-4)"/>
      <sheetName val="封面"/>
      <sheetName val="结算表"/>
      <sheetName val="二次转运材料汇总表"/>
    </sheetNames>
    <sheetDataSet>
      <sheetData sheetId="0" refreshError="1"/>
      <sheetData sheetId="1"/>
      <sheetData sheetId="2">
        <row r="127">
          <cell r="B127" t="str">
            <v>钢筋制安</v>
          </cell>
        </row>
        <row r="129">
          <cell r="B129" t="str">
            <v>M10砂浆抹面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结算审核汇总表"/>
      <sheetName val="结算审核表"/>
      <sheetName val="工程量核对表"/>
      <sheetName val="计算底稿"/>
      <sheetName val="耗材分析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workbookViewId="0">
      <selection activeCell="E30" sqref="E30"/>
    </sheetView>
  </sheetViews>
  <sheetFormatPr defaultColWidth="11" defaultRowHeight="18" customHeight="1"/>
  <cols>
    <col min="1" max="1" width="6.33333333333333" style="156" customWidth="1"/>
    <col min="2" max="2" width="35.2166666666667" style="157" customWidth="1"/>
    <col min="3" max="3" width="7.21666666666667" style="158" customWidth="1"/>
    <col min="4" max="7" width="16.6666666666667" style="158" customWidth="1"/>
    <col min="8" max="8" width="17" style="159" customWidth="1"/>
    <col min="9" max="9" width="12.3333333333333" style="153" customWidth="1"/>
    <col min="10" max="10" width="13.8833333333333" style="153" customWidth="1"/>
    <col min="11" max="16380" width="11" style="153"/>
  </cols>
  <sheetData>
    <row r="1" s="153" customFormat="1" customHeight="1" spans="1:8">
      <c r="A1" s="160" t="s">
        <v>0</v>
      </c>
      <c r="B1" s="160"/>
      <c r="C1" s="160"/>
      <c r="D1" s="160"/>
      <c r="E1" s="160"/>
      <c r="F1" s="160"/>
      <c r="G1" s="160"/>
      <c r="H1" s="160"/>
    </row>
    <row r="2" customFormat="1" ht="22.5" customHeight="1" spans="1:8">
      <c r="A2" s="56" t="s">
        <v>1</v>
      </c>
      <c r="B2" s="57"/>
      <c r="C2" s="57"/>
      <c r="D2" s="57"/>
      <c r="E2" s="57"/>
      <c r="F2" s="57"/>
      <c r="G2" s="57"/>
      <c r="H2" s="57"/>
    </row>
    <row r="3" s="154" customFormat="1" ht="22.05" customHeight="1" spans="1:8">
      <c r="A3" s="59" t="s">
        <v>2</v>
      </c>
      <c r="B3" s="59"/>
      <c r="C3" s="59"/>
      <c r="D3" s="59"/>
      <c r="E3" s="59"/>
      <c r="F3" s="59"/>
      <c r="G3" s="59"/>
      <c r="H3" s="59"/>
    </row>
    <row r="4" s="154" customFormat="1" ht="22.05" customHeight="1" spans="1:8">
      <c r="A4" s="59" t="s">
        <v>3</v>
      </c>
      <c r="B4" s="59"/>
      <c r="C4" s="59"/>
      <c r="D4" s="59"/>
      <c r="E4" s="59"/>
      <c r="F4" s="59"/>
      <c r="G4" s="59"/>
      <c r="H4" s="59"/>
    </row>
    <row r="5" s="154" customFormat="1" customHeight="1" spans="1:8">
      <c r="A5" s="161" t="s">
        <v>4</v>
      </c>
      <c r="B5" s="162" t="s">
        <v>5</v>
      </c>
      <c r="C5" s="163" t="s">
        <v>6</v>
      </c>
      <c r="D5" s="164" t="s">
        <v>7</v>
      </c>
      <c r="E5" s="164" t="s">
        <v>8</v>
      </c>
      <c r="F5" s="165" t="s">
        <v>9</v>
      </c>
      <c r="G5" s="165" t="s">
        <v>10</v>
      </c>
      <c r="H5" s="166" t="s">
        <v>11</v>
      </c>
    </row>
    <row r="6" s="154" customFormat="1" ht="9.75" customHeight="1" spans="1:8">
      <c r="A6" s="161"/>
      <c r="B6" s="162"/>
      <c r="C6" s="163"/>
      <c r="D6" s="167"/>
      <c r="E6" s="167"/>
      <c r="F6" s="168"/>
      <c r="G6" s="168"/>
      <c r="H6" s="169"/>
    </row>
    <row r="7" s="155" customFormat="1" ht="26.1" customHeight="1" spans="1:9">
      <c r="A7" s="95" t="s">
        <v>12</v>
      </c>
      <c r="B7" s="96"/>
      <c r="C7" s="66" t="s">
        <v>13</v>
      </c>
      <c r="D7" s="67">
        <v>88643.55</v>
      </c>
      <c r="E7" s="67">
        <f>SUM(E8:E11)</f>
        <v>159108.6423</v>
      </c>
      <c r="F7" s="65">
        <f>E7-D7</f>
        <v>70465.0923</v>
      </c>
      <c r="G7" s="65">
        <v>0</v>
      </c>
      <c r="H7" s="81"/>
      <c r="I7" s="173"/>
    </row>
    <row r="8" s="155" customFormat="1" ht="26.1" customHeight="1" spans="1:9">
      <c r="A8" s="69" t="s">
        <v>14</v>
      </c>
      <c r="B8" s="77" t="s">
        <v>15</v>
      </c>
      <c r="C8" s="69" t="s">
        <v>13</v>
      </c>
      <c r="D8" s="75">
        <v>88643.55</v>
      </c>
      <c r="E8" s="75">
        <f>结算审核表!I6</f>
        <v>125499.5463</v>
      </c>
      <c r="F8" s="71">
        <f t="shared" ref="F8:F17" si="0">E8-D8</f>
        <v>36855.9963</v>
      </c>
      <c r="G8" s="71">
        <v>0</v>
      </c>
      <c r="H8" s="81"/>
      <c r="I8" s="174"/>
    </row>
    <row r="9" s="155" customFormat="1" ht="26.1" customHeight="1" spans="1:9">
      <c r="A9" s="69" t="s">
        <v>16</v>
      </c>
      <c r="B9" s="77" t="s">
        <v>17</v>
      </c>
      <c r="C9" s="69" t="s">
        <v>13</v>
      </c>
      <c r="D9" s="75">
        <v>0</v>
      </c>
      <c r="E9" s="75">
        <f>结算审核表!I28</f>
        <v>7072.6198</v>
      </c>
      <c r="F9" s="71">
        <f t="shared" si="0"/>
        <v>7072.6198</v>
      </c>
      <c r="G9" s="71">
        <v>0</v>
      </c>
      <c r="H9" s="81"/>
      <c r="I9" s="174"/>
    </row>
    <row r="10" s="155" customFormat="1" ht="26.1" customHeight="1" spans="1:9">
      <c r="A10" s="69" t="s">
        <v>18</v>
      </c>
      <c r="B10" s="77" t="s">
        <v>19</v>
      </c>
      <c r="C10" s="69" t="s">
        <v>13</v>
      </c>
      <c r="D10" s="75">
        <v>0</v>
      </c>
      <c r="E10" s="75">
        <f>结算审核表!I36</f>
        <v>26020.1727</v>
      </c>
      <c r="F10" s="71">
        <f t="shared" si="0"/>
        <v>26020.1727</v>
      </c>
      <c r="G10" s="71">
        <v>0</v>
      </c>
      <c r="H10" s="81"/>
      <c r="I10" s="174"/>
    </row>
    <row r="11" s="155" customFormat="1" ht="26.1" customHeight="1" spans="1:9">
      <c r="A11" s="69" t="s">
        <v>20</v>
      </c>
      <c r="B11" s="77" t="s">
        <v>21</v>
      </c>
      <c r="C11" s="69" t="s">
        <v>13</v>
      </c>
      <c r="D11" s="75">
        <v>0</v>
      </c>
      <c r="E11" s="75">
        <f>结算审核表!I48</f>
        <v>516.3035</v>
      </c>
      <c r="F11" s="71">
        <f t="shared" si="0"/>
        <v>516.3035</v>
      </c>
      <c r="G11" s="71">
        <v>0</v>
      </c>
      <c r="H11" s="81"/>
      <c r="I11" s="174"/>
    </row>
    <row r="12" s="155" customFormat="1" ht="26.1" customHeight="1" spans="1:8">
      <c r="A12" s="95" t="s">
        <v>22</v>
      </c>
      <c r="B12" s="96"/>
      <c r="C12" s="66" t="s">
        <v>13</v>
      </c>
      <c r="D12" s="67">
        <f>SUM(D13:D18)</f>
        <v>204912.17</v>
      </c>
      <c r="E12" s="67">
        <f>SUM(E13:E18)</f>
        <v>244125.93</v>
      </c>
      <c r="F12" s="65">
        <f t="shared" si="0"/>
        <v>39213.76</v>
      </c>
      <c r="G12" s="65">
        <v>0</v>
      </c>
      <c r="H12" s="81"/>
    </row>
    <row r="13" s="155" customFormat="1" ht="26.1" customHeight="1" spans="1:8">
      <c r="A13" s="69" t="s">
        <v>14</v>
      </c>
      <c r="B13" s="77" t="s">
        <v>23</v>
      </c>
      <c r="C13" s="69" t="s">
        <v>13</v>
      </c>
      <c r="D13" s="75">
        <v>50700</v>
      </c>
      <c r="E13" s="75">
        <f>结算审核表!I55</f>
        <v>51900</v>
      </c>
      <c r="F13" s="71">
        <f t="shared" si="0"/>
        <v>1200</v>
      </c>
      <c r="G13" s="71">
        <v>0</v>
      </c>
      <c r="H13" s="81"/>
    </row>
    <row r="14" s="155" customFormat="1" ht="26.1" customHeight="1" spans="1:8">
      <c r="A14" s="69" t="s">
        <v>16</v>
      </c>
      <c r="B14" s="77" t="s">
        <v>24</v>
      </c>
      <c r="C14" s="69" t="s">
        <v>13</v>
      </c>
      <c r="D14" s="75">
        <v>23576</v>
      </c>
      <c r="E14" s="75">
        <f>结算审核表!I60</f>
        <v>26781</v>
      </c>
      <c r="F14" s="71">
        <f t="shared" si="0"/>
        <v>3205</v>
      </c>
      <c r="G14" s="71">
        <v>0</v>
      </c>
      <c r="H14" s="81"/>
    </row>
    <row r="15" s="155" customFormat="1" ht="26.1" customHeight="1" spans="1:8">
      <c r="A15" s="69" t="s">
        <v>18</v>
      </c>
      <c r="B15" s="77" t="s">
        <v>25</v>
      </c>
      <c r="C15" s="69" t="s">
        <v>13</v>
      </c>
      <c r="D15" s="75">
        <v>0</v>
      </c>
      <c r="E15" s="75">
        <f>结算审核表!I68</f>
        <v>63896.58</v>
      </c>
      <c r="F15" s="71">
        <f t="shared" si="0"/>
        <v>63896.58</v>
      </c>
      <c r="G15" s="71">
        <v>0</v>
      </c>
      <c r="H15" s="97"/>
    </row>
    <row r="16" s="155" customFormat="1" ht="26.1" customHeight="1" spans="1:8">
      <c r="A16" s="69" t="s">
        <v>20</v>
      </c>
      <c r="B16" s="77" t="s">
        <v>26</v>
      </c>
      <c r="C16" s="69" t="s">
        <v>13</v>
      </c>
      <c r="D16" s="75">
        <f>结算审核表!F76</f>
        <v>36000</v>
      </c>
      <c r="E16" s="75">
        <f>结算审核表!I76</f>
        <v>39060</v>
      </c>
      <c r="F16" s="71">
        <f t="shared" ref="F16" si="1">E16-D16</f>
        <v>3060</v>
      </c>
      <c r="G16" s="71">
        <v>0</v>
      </c>
      <c r="H16" s="97"/>
    </row>
    <row r="17" s="155" customFormat="1" ht="26.1" customHeight="1" spans="1:8">
      <c r="A17" s="69" t="s">
        <v>27</v>
      </c>
      <c r="B17" s="77" t="s">
        <v>28</v>
      </c>
      <c r="C17" s="69" t="s">
        <v>13</v>
      </c>
      <c r="D17" s="75">
        <v>0</v>
      </c>
      <c r="E17" s="75">
        <f>结算审核表!I79</f>
        <v>32494</v>
      </c>
      <c r="F17" s="71">
        <f t="shared" si="0"/>
        <v>32494</v>
      </c>
      <c r="G17" s="71">
        <v>0</v>
      </c>
      <c r="H17" s="97"/>
    </row>
    <row r="18" s="155" customFormat="1" ht="26.1" customHeight="1" spans="1:8">
      <c r="A18" s="69" t="s">
        <v>29</v>
      </c>
      <c r="B18" s="77" t="s">
        <v>30</v>
      </c>
      <c r="C18" s="69" t="s">
        <v>13</v>
      </c>
      <c r="D18" s="75">
        <f>结算审核表!F89:F89</f>
        <v>94636.17</v>
      </c>
      <c r="E18" s="75">
        <f>结算审核表!I89</f>
        <v>29994.35</v>
      </c>
      <c r="F18" s="71">
        <f t="shared" ref="F18" si="2">E18-D18</f>
        <v>-64641.82</v>
      </c>
      <c r="G18" s="71">
        <v>0</v>
      </c>
      <c r="H18" s="97"/>
    </row>
    <row r="19" s="155" customFormat="1" ht="26.1" customHeight="1" spans="1:10">
      <c r="A19" s="95" t="s">
        <v>31</v>
      </c>
      <c r="B19" s="96"/>
      <c r="C19" s="66" t="s">
        <v>13</v>
      </c>
      <c r="D19" s="67">
        <f>E19</f>
        <v>14677.88</v>
      </c>
      <c r="E19" s="67">
        <v>14677.88</v>
      </c>
      <c r="F19" s="71">
        <v>0</v>
      </c>
      <c r="G19" s="71">
        <v>0</v>
      </c>
      <c r="H19" s="97"/>
      <c r="J19" s="175"/>
    </row>
    <row r="20" s="155" customFormat="1" ht="26.1" customHeight="1" spans="1:10">
      <c r="A20" s="69"/>
      <c r="B20" s="66" t="s">
        <v>32</v>
      </c>
      <c r="C20" s="66"/>
      <c r="D20" s="67">
        <f>D19+D12+D7</f>
        <v>308233.6</v>
      </c>
      <c r="E20" s="67">
        <f>E7+E12+E19</f>
        <v>417912.4523</v>
      </c>
      <c r="F20" s="65">
        <f>E20-D20</f>
        <v>109678.8523</v>
      </c>
      <c r="G20" s="65">
        <v>0</v>
      </c>
      <c r="H20" s="81"/>
      <c r="J20" s="175"/>
    </row>
    <row r="21" s="153" customFormat="1" ht="61.5" customHeight="1" spans="1:8">
      <c r="A21" s="170" t="s">
        <v>33</v>
      </c>
      <c r="B21" s="171"/>
      <c r="C21" s="171"/>
      <c r="D21" s="171"/>
      <c r="E21" s="171"/>
      <c r="F21" s="171"/>
      <c r="G21" s="171"/>
      <c r="H21" s="171"/>
    </row>
    <row r="22" s="153" customFormat="1" customHeight="1" spans="1:8">
      <c r="A22" s="156"/>
      <c r="B22" s="157"/>
      <c r="C22" s="158"/>
      <c r="D22" s="158"/>
      <c r="E22" s="172"/>
      <c r="F22" s="172"/>
      <c r="G22" s="172"/>
      <c r="H22" s="159"/>
    </row>
    <row r="24" customHeight="1" spans="5:6">
      <c r="E24" s="158">
        <f>310328+29994+14677</f>
        <v>354999</v>
      </c>
      <c r="F24" s="158">
        <f>159108.64+223559.13+14677.88</f>
        <v>397345.65</v>
      </c>
    </row>
  </sheetData>
  <mergeCells count="16">
    <mergeCell ref="A1:H1"/>
    <mergeCell ref="A2:H2"/>
    <mergeCell ref="A3:H3"/>
    <mergeCell ref="A4:H4"/>
    <mergeCell ref="A7:B7"/>
    <mergeCell ref="A12:B12"/>
    <mergeCell ref="A19:B19"/>
    <mergeCell ref="A21:H21"/>
    <mergeCell ref="A5:A6"/>
    <mergeCell ref="B5:B6"/>
    <mergeCell ref="C5:C6"/>
    <mergeCell ref="D5:D6"/>
    <mergeCell ref="E5:E6"/>
    <mergeCell ref="F5:F6"/>
    <mergeCell ref="G5:G6"/>
    <mergeCell ref="H5:H6"/>
  </mergeCells>
  <pageMargins left="0.357638888888889" right="0" top="0.60625" bottom="0.0152777777777778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3"/>
  <sheetViews>
    <sheetView tabSelected="1" workbookViewId="0">
      <selection activeCell="G4" sqref="G4:K4"/>
    </sheetView>
  </sheetViews>
  <sheetFormatPr defaultColWidth="9" defaultRowHeight="14.25"/>
  <cols>
    <col min="1" max="1" width="13.25" style="135"/>
    <col min="2" max="3" width="0.125" style="135"/>
    <col min="4" max="4" width="2.75" style="135"/>
    <col min="5" max="5" width="1.625" style="135"/>
    <col min="6" max="6" width="0.625" style="135"/>
    <col min="7" max="7" width="0.125" style="135"/>
    <col min="8" max="8" width="19.125" style="135"/>
    <col min="9" max="9" width="0.125" style="135"/>
    <col min="10" max="10" width="0.25" style="135"/>
    <col min="11" max="11" width="8.625" style="135"/>
    <col min="12" max="12" width="0.125" style="135"/>
    <col min="13" max="13" width="4" style="135"/>
    <col min="14" max="15" width="0.125" style="135"/>
    <col min="16" max="16" width="0.5" style="135"/>
    <col min="17" max="17" width="0.125" style="135"/>
    <col min="18" max="18" width="4.125" style="135"/>
    <col min="19" max="19" width="0.125" style="135"/>
    <col min="20" max="20" width="0.25" style="135"/>
    <col min="21" max="21" width="0.125" style="135"/>
    <col min="22" max="22" width="2.625" style="135"/>
    <col min="23" max="23" width="10.875" style="135"/>
    <col min="24" max="24" width="2.625" style="135"/>
    <col min="25" max="25" width="0.25" style="135"/>
    <col min="26" max="26" width="3.25" style="135"/>
    <col min="27" max="27" width="8.5" style="135"/>
    <col min="28" max="28" width="0.25" style="135"/>
    <col min="29" max="29" width="1.375" style="135"/>
    <col min="30" max="30" width="0.125" style="135"/>
    <col min="31" max="31" width="6.125" style="135"/>
    <col min="32" max="32" width="15.5" style="135"/>
    <col min="33" max="33" width="0.125" style="135"/>
    <col min="34" max="34" width="2.125" style="135" customWidth="1"/>
    <col min="35" max="35" width="9" style="135"/>
    <col min="36" max="36" width="12.625" style="135"/>
    <col min="37" max="16384" width="9" style="135"/>
  </cols>
  <sheetData>
    <row r="1" s="135" customFormat="1" ht="29.25" customHeight="1" spans="1:34">
      <c r="A1" s="137" t="s">
        <v>34</v>
      </c>
      <c r="B1" s="137"/>
      <c r="C1" s="137"/>
      <c r="D1" s="137"/>
      <c r="E1" s="138" t="s">
        <v>35</v>
      </c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51"/>
      <c r="AG1" s="151"/>
      <c r="AH1" s="151"/>
    </row>
    <row r="2" s="135" customFormat="1" ht="35" customHeight="1" spans="1:34">
      <c r="A2" s="139" t="s">
        <v>36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</row>
    <row r="3" s="136" customFormat="1" ht="42" customHeight="1" spans="1:34">
      <c r="A3" s="140" t="s">
        <v>37</v>
      </c>
      <c r="B3" s="140"/>
      <c r="C3" s="140"/>
      <c r="D3" s="140"/>
      <c r="E3" s="140"/>
      <c r="F3" s="140"/>
      <c r="G3" s="140"/>
      <c r="H3" s="141">
        <v>310328</v>
      </c>
      <c r="I3" s="141"/>
      <c r="J3" s="141"/>
      <c r="K3" s="141"/>
      <c r="L3" s="141"/>
      <c r="M3" s="140" t="s">
        <v>38</v>
      </c>
      <c r="N3" s="140"/>
      <c r="O3" s="140"/>
      <c r="P3" s="140"/>
      <c r="Q3" s="140"/>
      <c r="R3" s="140"/>
      <c r="S3" s="140"/>
      <c r="T3" s="140"/>
      <c r="U3" s="140"/>
      <c r="V3" s="150">
        <f>H3</f>
        <v>310328</v>
      </c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46" t="s">
        <v>34</v>
      </c>
    </row>
    <row r="4" s="136" customFormat="1" ht="42.75" customHeight="1" spans="1:34">
      <c r="A4" s="140" t="s">
        <v>39</v>
      </c>
      <c r="B4" s="140"/>
      <c r="C4" s="140"/>
      <c r="D4" s="140"/>
      <c r="E4" s="140"/>
      <c r="F4" s="140"/>
      <c r="G4" s="141">
        <f>结算审核表!I101</f>
        <v>373240</v>
      </c>
      <c r="H4" s="141"/>
      <c r="I4" s="141"/>
      <c r="J4" s="141"/>
      <c r="K4" s="141"/>
      <c r="L4" s="140" t="s">
        <v>38</v>
      </c>
      <c r="M4" s="140"/>
      <c r="N4" s="140"/>
      <c r="O4" s="140"/>
      <c r="P4" s="140"/>
      <c r="Q4" s="140"/>
      <c r="R4" s="140"/>
      <c r="S4" s="140"/>
      <c r="T4" s="140"/>
      <c r="U4" s="150">
        <f>G4</f>
        <v>373240</v>
      </c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6"/>
      <c r="AH4" s="146"/>
    </row>
    <row r="5" s="136" customFormat="1" ht="42.75" customHeight="1" spans="1:34">
      <c r="A5" s="140" t="s">
        <v>40</v>
      </c>
      <c r="B5" s="140"/>
      <c r="C5" s="140"/>
      <c r="D5" s="140"/>
      <c r="E5" s="140"/>
      <c r="F5" s="140"/>
      <c r="G5" s="141">
        <f>结算审核表!I101-结算审核表!L101</f>
        <v>56577</v>
      </c>
      <c r="H5" s="141"/>
      <c r="I5" s="141"/>
      <c r="J5" s="141"/>
      <c r="K5" s="141"/>
      <c r="L5" s="140" t="s">
        <v>38</v>
      </c>
      <c r="M5" s="140"/>
      <c r="N5" s="140"/>
      <c r="O5" s="140"/>
      <c r="P5" s="140"/>
      <c r="Q5" s="140"/>
      <c r="R5" s="140"/>
      <c r="S5" s="140"/>
      <c r="T5" s="140"/>
      <c r="U5" s="150">
        <f>G5</f>
        <v>56577</v>
      </c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46" t="s">
        <v>34</v>
      </c>
      <c r="AH5" s="146"/>
    </row>
    <row r="6" s="136" customFormat="1" ht="69" customHeight="1" spans="1:34">
      <c r="A6" s="140" t="s">
        <v>41</v>
      </c>
      <c r="B6" s="140"/>
      <c r="C6" s="142" t="s">
        <v>42</v>
      </c>
      <c r="D6" s="142"/>
      <c r="E6" s="142"/>
      <c r="F6" s="142"/>
      <c r="G6" s="142"/>
      <c r="H6" s="142"/>
      <c r="I6" s="142"/>
      <c r="J6" s="140" t="s">
        <v>43</v>
      </c>
      <c r="K6" s="140"/>
      <c r="L6" s="140"/>
      <c r="M6" s="140"/>
      <c r="N6" s="140"/>
      <c r="O6" s="140"/>
      <c r="P6" s="142" t="s">
        <v>44</v>
      </c>
      <c r="Q6" s="142"/>
      <c r="R6" s="142"/>
      <c r="S6" s="142"/>
      <c r="T6" s="142"/>
      <c r="U6" s="142"/>
      <c r="V6" s="142"/>
      <c r="W6" s="142"/>
      <c r="X6" s="142"/>
      <c r="Y6" s="142"/>
      <c r="Z6" s="140" t="s">
        <v>45</v>
      </c>
      <c r="AA6" s="140"/>
      <c r="AB6" s="140"/>
      <c r="AC6" s="142" t="s">
        <v>46</v>
      </c>
      <c r="AD6" s="142"/>
      <c r="AE6" s="142"/>
      <c r="AF6" s="142"/>
      <c r="AG6" s="142"/>
      <c r="AH6" s="142"/>
    </row>
    <row r="7" s="136" customFormat="1" ht="19.5" customHeight="1" spans="1:34">
      <c r="A7" s="143" t="s">
        <v>34</v>
      </c>
      <c r="B7" s="144" t="s">
        <v>47</v>
      </c>
      <c r="C7" s="144"/>
      <c r="D7" s="144"/>
      <c r="E7" s="144"/>
      <c r="F7" s="144"/>
      <c r="G7" s="144"/>
      <c r="H7" s="144"/>
      <c r="I7" s="144"/>
      <c r="J7" s="144"/>
      <c r="K7" s="144" t="s">
        <v>34</v>
      </c>
      <c r="L7" s="144"/>
      <c r="M7" s="144"/>
      <c r="N7" s="144"/>
      <c r="O7" s="144"/>
      <c r="P7" s="144" t="s">
        <v>47</v>
      </c>
      <c r="Q7" s="144"/>
      <c r="R7" s="144"/>
      <c r="S7" s="144"/>
      <c r="T7" s="144"/>
      <c r="U7" s="144"/>
      <c r="V7" s="144"/>
      <c r="W7" s="144"/>
      <c r="X7" s="144"/>
      <c r="Y7" s="149" t="s">
        <v>34</v>
      </c>
      <c r="Z7" s="149"/>
      <c r="AA7" s="149"/>
      <c r="AB7" s="144" t="s">
        <v>47</v>
      </c>
      <c r="AC7" s="144"/>
      <c r="AD7" s="144"/>
      <c r="AE7" s="144"/>
      <c r="AF7" s="144"/>
      <c r="AG7" s="144"/>
      <c r="AH7" s="144"/>
    </row>
    <row r="8" s="136" customFormat="1" ht="53.25" customHeight="1" spans="1:34">
      <c r="A8" s="140" t="s">
        <v>48</v>
      </c>
      <c r="B8" s="140"/>
      <c r="C8" s="142" t="s">
        <v>49</v>
      </c>
      <c r="D8" s="142"/>
      <c r="E8" s="142"/>
      <c r="F8" s="142"/>
      <c r="G8" s="142"/>
      <c r="H8" s="142"/>
      <c r="I8" s="142"/>
      <c r="J8" s="142"/>
      <c r="K8" s="146" t="s">
        <v>48</v>
      </c>
      <c r="L8" s="146"/>
      <c r="M8" s="146"/>
      <c r="N8" s="146"/>
      <c r="O8" s="146"/>
      <c r="P8" s="146"/>
      <c r="Q8" s="146"/>
      <c r="R8" s="142" t="s">
        <v>49</v>
      </c>
      <c r="S8" s="142"/>
      <c r="T8" s="142"/>
      <c r="U8" s="142"/>
      <c r="V8" s="142"/>
      <c r="W8" s="142"/>
      <c r="X8" s="142"/>
      <c r="Y8" s="142"/>
      <c r="Z8" s="140" t="s">
        <v>48</v>
      </c>
      <c r="AA8" s="140"/>
      <c r="AB8" s="140"/>
      <c r="AC8" s="140"/>
      <c r="AD8" s="140"/>
      <c r="AE8" s="142" t="s">
        <v>49</v>
      </c>
      <c r="AF8" s="142"/>
      <c r="AG8" s="142"/>
      <c r="AH8" s="142"/>
    </row>
    <row r="9" s="136" customFormat="1" ht="19.5" customHeight="1" spans="1:34">
      <c r="A9" s="143" t="s">
        <v>34</v>
      </c>
      <c r="B9" s="144" t="s">
        <v>50</v>
      </c>
      <c r="C9" s="144"/>
      <c r="D9" s="144"/>
      <c r="E9" s="144"/>
      <c r="F9" s="144"/>
      <c r="G9" s="144"/>
      <c r="H9" s="144"/>
      <c r="I9" s="144" t="s">
        <v>34</v>
      </c>
      <c r="J9" s="144"/>
      <c r="K9" s="144"/>
      <c r="L9" s="144"/>
      <c r="M9" s="144"/>
      <c r="N9" s="144"/>
      <c r="O9" s="144"/>
      <c r="P9" s="144"/>
      <c r="Q9" s="149" t="s">
        <v>50</v>
      </c>
      <c r="R9" s="149"/>
      <c r="S9" s="149"/>
      <c r="T9" s="149"/>
      <c r="U9" s="149"/>
      <c r="V9" s="149"/>
      <c r="W9" s="149"/>
      <c r="X9" s="149"/>
      <c r="Y9" s="149"/>
      <c r="Z9" s="144" t="s">
        <v>34</v>
      </c>
      <c r="AA9" s="144"/>
      <c r="AB9" s="144"/>
      <c r="AC9" s="144"/>
      <c r="AD9" s="144" t="s">
        <v>50</v>
      </c>
      <c r="AE9" s="144"/>
      <c r="AF9" s="144"/>
      <c r="AG9" s="144"/>
      <c r="AH9" s="144"/>
    </row>
    <row r="10" s="136" customFormat="1" ht="53.25" customHeight="1" spans="1:34">
      <c r="A10" s="140" t="s">
        <v>51</v>
      </c>
      <c r="B10" s="140"/>
      <c r="C10" s="145" t="s">
        <v>52</v>
      </c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6" t="s">
        <v>34</v>
      </c>
      <c r="P10" s="146"/>
      <c r="Q10" s="146"/>
      <c r="R10" s="146"/>
      <c r="S10" s="146"/>
      <c r="T10" s="140" t="s">
        <v>53</v>
      </c>
      <c r="U10" s="140"/>
      <c r="V10" s="140"/>
      <c r="W10" s="140"/>
      <c r="X10" s="142" t="s">
        <v>49</v>
      </c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</row>
    <row r="11" s="136" customFormat="1" ht="21" customHeight="1" spans="1:34">
      <c r="A11" s="143" t="s">
        <v>34</v>
      </c>
      <c r="B11" s="143"/>
      <c r="C11" s="143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9" t="s">
        <v>34</v>
      </c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4"/>
      <c r="AB11" s="144"/>
      <c r="AC11" s="144"/>
      <c r="AD11" s="144"/>
      <c r="AE11" s="144"/>
      <c r="AF11" s="144"/>
      <c r="AG11" s="144"/>
      <c r="AH11" s="144"/>
    </row>
    <row r="12" s="136" customFormat="1" ht="24" customHeight="1" spans="1:34">
      <c r="A12" s="140" t="s">
        <v>54</v>
      </c>
      <c r="B12" s="140"/>
      <c r="C12" s="140"/>
      <c r="D12" s="140"/>
      <c r="E12" s="140"/>
      <c r="F12" s="146" t="s">
        <v>49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0"/>
      <c r="T12" s="140"/>
      <c r="U12" s="140"/>
      <c r="V12" s="140"/>
      <c r="W12" s="140"/>
      <c r="X12" s="140"/>
      <c r="Y12" s="140"/>
      <c r="Z12" s="140"/>
      <c r="AA12" s="146" t="s">
        <v>49</v>
      </c>
      <c r="AB12" s="146"/>
      <c r="AC12" s="146"/>
      <c r="AD12" s="146"/>
      <c r="AE12" s="146"/>
      <c r="AF12" s="146"/>
      <c r="AG12" s="146"/>
      <c r="AH12" s="146"/>
    </row>
    <row r="13" s="135" customFormat="1" ht="11" customHeight="1" spans="1:34">
      <c r="A13" s="147" t="s">
        <v>34</v>
      </c>
      <c r="B13" s="147"/>
      <c r="C13" s="147"/>
      <c r="D13" s="147"/>
      <c r="E13" s="147"/>
      <c r="F13" s="148" t="s">
        <v>34</v>
      </c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7" t="s">
        <v>34</v>
      </c>
      <c r="X13" s="147"/>
      <c r="Y13" s="147"/>
      <c r="Z13" s="147"/>
      <c r="AA13" s="152"/>
      <c r="AB13" s="152"/>
      <c r="AC13" s="152"/>
      <c r="AD13" s="152"/>
      <c r="AE13" s="152"/>
      <c r="AF13" s="152"/>
      <c r="AG13" s="152"/>
      <c r="AH13" s="152"/>
    </row>
  </sheetData>
  <mergeCells count="57">
    <mergeCell ref="A1:D1"/>
    <mergeCell ref="E1:AE1"/>
    <mergeCell ref="AF1:AH1"/>
    <mergeCell ref="A2:AH2"/>
    <mergeCell ref="A3:G3"/>
    <mergeCell ref="H3:L3"/>
    <mergeCell ref="M3:U3"/>
    <mergeCell ref="V3:AG3"/>
    <mergeCell ref="A4:F4"/>
    <mergeCell ref="G4:K4"/>
    <mergeCell ref="L4:T4"/>
    <mergeCell ref="U4:AF4"/>
    <mergeCell ref="AG4:AH4"/>
    <mergeCell ref="A5:F5"/>
    <mergeCell ref="G5:K5"/>
    <mergeCell ref="L5:T5"/>
    <mergeCell ref="U5:AF5"/>
    <mergeCell ref="AG5:AH5"/>
    <mergeCell ref="A6:B6"/>
    <mergeCell ref="C6:I6"/>
    <mergeCell ref="J6:O6"/>
    <mergeCell ref="P6:Y6"/>
    <mergeCell ref="Z6:AB6"/>
    <mergeCell ref="AC6:AH6"/>
    <mergeCell ref="B7:J7"/>
    <mergeCell ref="K7:O7"/>
    <mergeCell ref="P7:X7"/>
    <mergeCell ref="Y7:AA7"/>
    <mergeCell ref="AB7:AH7"/>
    <mergeCell ref="A8:B8"/>
    <mergeCell ref="C8:J8"/>
    <mergeCell ref="K8:Q8"/>
    <mergeCell ref="R8:Y8"/>
    <mergeCell ref="Z8:AD8"/>
    <mergeCell ref="AE8:AH8"/>
    <mergeCell ref="B9:H9"/>
    <mergeCell ref="I9:P9"/>
    <mergeCell ref="Q9:Y9"/>
    <mergeCell ref="Z9:AC9"/>
    <mergeCell ref="AD9:AH9"/>
    <mergeCell ref="A10:B10"/>
    <mergeCell ref="C10:N10"/>
    <mergeCell ref="O10:S10"/>
    <mergeCell ref="T10:W10"/>
    <mergeCell ref="X10:AH10"/>
    <mergeCell ref="A11:C11"/>
    <mergeCell ref="D11:M11"/>
    <mergeCell ref="N11:Z11"/>
    <mergeCell ref="AA11:AH11"/>
    <mergeCell ref="A12:E12"/>
    <mergeCell ref="F12:R12"/>
    <mergeCell ref="S12:Z12"/>
    <mergeCell ref="AA12:AH12"/>
    <mergeCell ref="A13:E13"/>
    <mergeCell ref="F13:V13"/>
    <mergeCell ref="W13:Z13"/>
    <mergeCell ref="AA13:AH13"/>
  </mergeCells>
  <pageMargins left="1.18055555555556" right="0.786805555555556" top="0.786805555555556" bottom="0.786805555555556" header="0.393055555555556" footer="0.393055555555556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1"/>
  <sheetViews>
    <sheetView workbookViewId="0">
      <pane xSplit="3" ySplit="4" topLeftCell="G95" activePane="bottomRight" state="frozen"/>
      <selection/>
      <selection pane="topRight"/>
      <selection pane="bottomLeft"/>
      <selection pane="bottomRight" activeCell="N5" sqref="N5"/>
    </sheetView>
  </sheetViews>
  <sheetFormatPr defaultColWidth="11" defaultRowHeight="18" customHeight="1"/>
  <cols>
    <col min="1" max="1" width="6.44166666666667" style="49" customWidth="1"/>
    <col min="2" max="2" width="25.875" style="50" customWidth="1"/>
    <col min="3" max="3" width="5.88333333333333" style="51" customWidth="1"/>
    <col min="4" max="4" width="10.625" style="52" customWidth="1"/>
    <col min="5" max="6" width="10.625" style="51" customWidth="1"/>
    <col min="7" max="7" width="10.625" style="52" customWidth="1"/>
    <col min="8" max="9" width="10.625" style="51" customWidth="1"/>
    <col min="10" max="10" width="10.625" style="52" customWidth="1"/>
    <col min="11" max="12" width="10.625" style="51" customWidth="1"/>
    <col min="13" max="14" width="12.1083333333333" style="51" customWidth="1"/>
    <col min="15" max="15" width="12" style="53" customWidth="1"/>
    <col min="16" max="16384" width="11" style="54"/>
  </cols>
  <sheetData>
    <row r="1" ht="29.1" customHeight="1" spans="1:15">
      <c r="A1" s="56" t="s">
        <v>55</v>
      </c>
      <c r="B1" s="57"/>
      <c r="C1" s="57"/>
      <c r="D1" s="57"/>
      <c r="E1" s="57"/>
      <c r="F1" s="57"/>
      <c r="G1" s="58"/>
      <c r="H1" s="57"/>
      <c r="I1" s="57"/>
      <c r="J1" s="58"/>
      <c r="K1" s="57"/>
      <c r="L1" s="57"/>
      <c r="M1" s="57"/>
      <c r="N1" s="57"/>
      <c r="O1" s="57"/>
    </row>
    <row r="2" s="46" customFormat="1" ht="22" customHeight="1" spans="1:15">
      <c r="A2" s="98" t="s">
        <v>56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="46" customFormat="1" ht="25" customHeight="1" spans="1:15">
      <c r="A3" s="99" t="s">
        <v>4</v>
      </c>
      <c r="B3" s="100" t="s">
        <v>5</v>
      </c>
      <c r="C3" s="100" t="s">
        <v>6</v>
      </c>
      <c r="D3" s="100" t="s">
        <v>57</v>
      </c>
      <c r="E3" s="100"/>
      <c r="F3" s="100"/>
      <c r="G3" s="101" t="s">
        <v>58</v>
      </c>
      <c r="H3" s="100"/>
      <c r="I3" s="100"/>
      <c r="J3" s="101" t="s">
        <v>59</v>
      </c>
      <c r="K3" s="100"/>
      <c r="L3" s="100"/>
      <c r="M3" s="118" t="s">
        <v>60</v>
      </c>
      <c r="N3" s="119"/>
      <c r="O3" s="102" t="s">
        <v>61</v>
      </c>
    </row>
    <row r="4" s="46" customFormat="1" ht="25" customHeight="1" spans="1:15">
      <c r="A4" s="99"/>
      <c r="B4" s="100"/>
      <c r="C4" s="100"/>
      <c r="D4" s="102" t="s">
        <v>62</v>
      </c>
      <c r="E4" s="100" t="s">
        <v>63</v>
      </c>
      <c r="F4" s="100" t="s">
        <v>64</v>
      </c>
      <c r="G4" s="103" t="s">
        <v>62</v>
      </c>
      <c r="H4" s="100" t="s">
        <v>63</v>
      </c>
      <c r="I4" s="100" t="s">
        <v>64</v>
      </c>
      <c r="J4" s="103" t="s">
        <v>62</v>
      </c>
      <c r="K4" s="100" t="s">
        <v>63</v>
      </c>
      <c r="L4" s="100" t="s">
        <v>64</v>
      </c>
      <c r="M4" s="100" t="s">
        <v>65</v>
      </c>
      <c r="N4" s="100" t="s">
        <v>66</v>
      </c>
      <c r="O4" s="102"/>
    </row>
    <row r="5" s="48" customFormat="1" ht="22" customHeight="1" spans="1:15">
      <c r="A5" s="104" t="s">
        <v>12</v>
      </c>
      <c r="B5" s="104"/>
      <c r="C5" s="104"/>
      <c r="D5" s="105"/>
      <c r="E5" s="105"/>
      <c r="F5" s="106">
        <f>F6+F28+F36+F48</f>
        <v>88645.43</v>
      </c>
      <c r="G5" s="107"/>
      <c r="H5" s="105"/>
      <c r="I5" s="106">
        <f>I6+I28+I36+I48</f>
        <v>159108.6423</v>
      </c>
      <c r="J5" s="107"/>
      <c r="K5" s="105"/>
      <c r="L5" s="106">
        <f>L6+L28+L36+L48</f>
        <v>117908.930267696</v>
      </c>
      <c r="M5" s="106"/>
      <c r="N5" s="106">
        <f>N6+N28+N36+N48</f>
        <v>-41199.7120323042</v>
      </c>
      <c r="O5" s="120"/>
    </row>
    <row r="6" s="48" customFormat="1" ht="22" customHeight="1" spans="1:15">
      <c r="A6" s="104" t="s">
        <v>14</v>
      </c>
      <c r="B6" s="108" t="s">
        <v>15</v>
      </c>
      <c r="C6" s="104" t="s">
        <v>13</v>
      </c>
      <c r="D6" s="105"/>
      <c r="E6" s="105"/>
      <c r="F6" s="106">
        <f>SUM(F7:F27)</f>
        <v>88645.43</v>
      </c>
      <c r="G6" s="107"/>
      <c r="H6" s="105"/>
      <c r="I6" s="106">
        <f>SUM(I7:I25)</f>
        <v>125499.5463</v>
      </c>
      <c r="J6" s="107"/>
      <c r="K6" s="105"/>
      <c r="L6" s="106">
        <f>SUM(L7:L27)</f>
        <v>84969.8746390291</v>
      </c>
      <c r="M6" s="121"/>
      <c r="N6" s="121">
        <f>SUM(N7:N27)</f>
        <v>-40529.6716609709</v>
      </c>
      <c r="O6" s="120"/>
    </row>
    <row r="7" s="48" customFormat="1" ht="22" customHeight="1" spans="1:15">
      <c r="A7" s="109">
        <v>1</v>
      </c>
      <c r="B7" s="110" t="s">
        <v>67</v>
      </c>
      <c r="C7" s="109" t="s">
        <v>68</v>
      </c>
      <c r="D7" s="111">
        <v>49.19</v>
      </c>
      <c r="E7" s="111">
        <v>19.7</v>
      </c>
      <c r="F7" s="112">
        <v>969.07</v>
      </c>
      <c r="G7" s="113">
        <v>127.76</v>
      </c>
      <c r="H7" s="111">
        <v>19.7</v>
      </c>
      <c r="I7" s="112">
        <f>G7*H7</f>
        <v>2516.872</v>
      </c>
      <c r="J7" s="113">
        <v>121.52</v>
      </c>
      <c r="K7" s="111">
        <v>20.63</v>
      </c>
      <c r="L7" s="112">
        <f t="shared" ref="L7:L23" si="0">J7*K7</f>
        <v>2506.9576</v>
      </c>
      <c r="M7" s="112">
        <f>J7-G7</f>
        <v>-6.24000000000001</v>
      </c>
      <c r="N7" s="112">
        <f>L7-I7</f>
        <v>-9.91439999999966</v>
      </c>
      <c r="O7" s="120"/>
    </row>
    <row r="8" s="48" customFormat="1" ht="22" customHeight="1" spans="1:15">
      <c r="A8" s="109">
        <v>2</v>
      </c>
      <c r="B8" s="110" t="s">
        <v>69</v>
      </c>
      <c r="C8" s="109" t="s">
        <v>68</v>
      </c>
      <c r="D8" s="111">
        <v>73.79</v>
      </c>
      <c r="E8" s="111">
        <v>57.04</v>
      </c>
      <c r="F8" s="112">
        <v>4208.83</v>
      </c>
      <c r="G8" s="113">
        <v>127.69</v>
      </c>
      <c r="H8" s="111">
        <v>57.04</v>
      </c>
      <c r="I8" s="112">
        <f t="shared" ref="I8:I22" si="1">G8*H8</f>
        <v>7283.4376</v>
      </c>
      <c r="J8" s="113">
        <v>115.63</v>
      </c>
      <c r="K8" s="111">
        <v>59.29</v>
      </c>
      <c r="L8" s="112">
        <f t="shared" si="0"/>
        <v>6855.7027</v>
      </c>
      <c r="M8" s="112">
        <f t="shared" ref="M8:M39" si="2">J8-G8</f>
        <v>-12.06</v>
      </c>
      <c r="N8" s="112">
        <f t="shared" ref="N8:N27" si="3">L8-I8</f>
        <v>-427.7349</v>
      </c>
      <c r="O8" s="120"/>
    </row>
    <row r="9" s="48" customFormat="1" ht="22" customHeight="1" spans="1:15">
      <c r="A9" s="109">
        <v>3</v>
      </c>
      <c r="B9" s="110" t="s">
        <v>70</v>
      </c>
      <c r="C9" s="109" t="s">
        <v>68</v>
      </c>
      <c r="D9" s="111">
        <v>30.6839</v>
      </c>
      <c r="E9" s="111">
        <v>24.9</v>
      </c>
      <c r="F9" s="112">
        <f>ROUND(D9*E9,2)</f>
        <v>764.03</v>
      </c>
      <c r="G9" s="113">
        <v>151.37</v>
      </c>
      <c r="H9" s="111">
        <v>24.9</v>
      </c>
      <c r="I9" s="112">
        <f t="shared" si="1"/>
        <v>3769.113</v>
      </c>
      <c r="J9" s="113">
        <v>151.37</v>
      </c>
      <c r="K9" s="111">
        <v>22.9</v>
      </c>
      <c r="L9" s="112">
        <f t="shared" si="0"/>
        <v>3466.373</v>
      </c>
      <c r="M9" s="112">
        <f t="shared" si="2"/>
        <v>0</v>
      </c>
      <c r="N9" s="112">
        <f t="shared" si="3"/>
        <v>-302.74</v>
      </c>
      <c r="O9" s="122"/>
    </row>
    <row r="10" s="48" customFormat="1" ht="22" customHeight="1" spans="1:15">
      <c r="A10" s="109">
        <v>4</v>
      </c>
      <c r="B10" s="110" t="s">
        <v>71</v>
      </c>
      <c r="C10" s="109" t="s">
        <v>68</v>
      </c>
      <c r="D10" s="111">
        <v>19.47</v>
      </c>
      <c r="E10" s="111">
        <v>562.3</v>
      </c>
      <c r="F10" s="112">
        <f t="shared" ref="F10:F15" si="4">ROUND(D10*E10,2)</f>
        <v>10947.98</v>
      </c>
      <c r="G10" s="113">
        <f>21.69+3.92</f>
        <v>25.61</v>
      </c>
      <c r="H10" s="111">
        <v>562.3</v>
      </c>
      <c r="I10" s="112">
        <f t="shared" si="1"/>
        <v>14400.503</v>
      </c>
      <c r="J10" s="113">
        <v>22.65</v>
      </c>
      <c r="K10" s="111">
        <v>554.08</v>
      </c>
      <c r="L10" s="112">
        <f t="shared" si="0"/>
        <v>12549.912</v>
      </c>
      <c r="M10" s="112">
        <f t="shared" si="2"/>
        <v>-2.96</v>
      </c>
      <c r="N10" s="112">
        <f t="shared" si="3"/>
        <v>-1850.591</v>
      </c>
      <c r="O10" s="120"/>
    </row>
    <row r="11" s="48" customFormat="1" ht="22" customHeight="1" spans="1:15">
      <c r="A11" s="109">
        <v>5</v>
      </c>
      <c r="B11" s="110" t="s">
        <v>72</v>
      </c>
      <c r="C11" s="109" t="s">
        <v>68</v>
      </c>
      <c r="D11" s="111">
        <v>29.18</v>
      </c>
      <c r="E11" s="111">
        <v>515.71</v>
      </c>
      <c r="F11" s="112">
        <f t="shared" si="4"/>
        <v>15048.42</v>
      </c>
      <c r="G11" s="113">
        <v>30.22</v>
      </c>
      <c r="H11" s="111">
        <v>515.71</v>
      </c>
      <c r="I11" s="112">
        <f t="shared" si="1"/>
        <v>15584.7562</v>
      </c>
      <c r="J11" s="113">
        <v>28.67</v>
      </c>
      <c r="K11" s="111">
        <v>488.14</v>
      </c>
      <c r="L11" s="112">
        <f t="shared" si="0"/>
        <v>13994.9738</v>
      </c>
      <c r="M11" s="112">
        <f t="shared" si="2"/>
        <v>-1.55</v>
      </c>
      <c r="N11" s="112">
        <f t="shared" si="3"/>
        <v>-1589.7824</v>
      </c>
      <c r="O11" s="120"/>
    </row>
    <row r="12" s="48" customFormat="1" ht="22" customHeight="1" spans="1:15">
      <c r="A12" s="109">
        <v>6</v>
      </c>
      <c r="B12" s="110" t="s">
        <v>73</v>
      </c>
      <c r="C12" s="109" t="s">
        <v>74</v>
      </c>
      <c r="D12" s="111">
        <v>32.9625</v>
      </c>
      <c r="E12" s="111">
        <v>58.41</v>
      </c>
      <c r="F12" s="112">
        <f t="shared" si="4"/>
        <v>1925.34</v>
      </c>
      <c r="G12" s="113">
        <v>57.69</v>
      </c>
      <c r="H12" s="111">
        <v>58.41</v>
      </c>
      <c r="I12" s="112">
        <f t="shared" si="1"/>
        <v>3369.6729</v>
      </c>
      <c r="J12" s="113">
        <v>31.59</v>
      </c>
      <c r="K12" s="111">
        <v>60.07</v>
      </c>
      <c r="L12" s="112">
        <f t="shared" si="0"/>
        <v>1897.6113</v>
      </c>
      <c r="M12" s="112">
        <f t="shared" si="2"/>
        <v>-26.1</v>
      </c>
      <c r="N12" s="112">
        <f t="shared" si="3"/>
        <v>-1472.0616</v>
      </c>
      <c r="O12" s="120"/>
    </row>
    <row r="13" s="48" customFormat="1" ht="22" customHeight="1" spans="1:15">
      <c r="A13" s="109">
        <v>7</v>
      </c>
      <c r="B13" s="110" t="s">
        <v>75</v>
      </c>
      <c r="C13" s="109" t="s">
        <v>76</v>
      </c>
      <c r="D13" s="111">
        <v>481.3004</v>
      </c>
      <c r="E13" s="111">
        <v>5.66</v>
      </c>
      <c r="F13" s="112">
        <f t="shared" si="4"/>
        <v>2724.16</v>
      </c>
      <c r="G13" s="113">
        <v>2313.01</v>
      </c>
      <c r="H13" s="111">
        <v>5.66</v>
      </c>
      <c r="I13" s="112">
        <f t="shared" si="1"/>
        <v>13091.6366</v>
      </c>
      <c r="J13" s="113">
        <v>2313.01</v>
      </c>
      <c r="K13" s="111">
        <v>5.96</v>
      </c>
      <c r="L13" s="112">
        <f t="shared" si="0"/>
        <v>13785.5396</v>
      </c>
      <c r="M13" s="112">
        <f t="shared" si="2"/>
        <v>0</v>
      </c>
      <c r="N13" s="112">
        <f t="shared" si="3"/>
        <v>693.903</v>
      </c>
      <c r="O13" s="120"/>
    </row>
    <row r="14" s="48" customFormat="1" ht="22" customHeight="1" spans="1:15">
      <c r="A14" s="109">
        <v>8</v>
      </c>
      <c r="B14" s="110" t="s">
        <v>77</v>
      </c>
      <c r="C14" s="109" t="s">
        <v>74</v>
      </c>
      <c r="D14" s="111">
        <v>198.43</v>
      </c>
      <c r="E14" s="111">
        <v>16.32</v>
      </c>
      <c r="F14" s="112">
        <f t="shared" si="4"/>
        <v>3238.38</v>
      </c>
      <c r="G14" s="113">
        <v>254.91</v>
      </c>
      <c r="H14" s="111">
        <v>16.32</v>
      </c>
      <c r="I14" s="112">
        <f t="shared" si="1"/>
        <v>4160.1312</v>
      </c>
      <c r="J14" s="113">
        <v>245.67</v>
      </c>
      <c r="K14" s="111">
        <v>15.76</v>
      </c>
      <c r="L14" s="112">
        <f t="shared" si="0"/>
        <v>3871.7592</v>
      </c>
      <c r="M14" s="112">
        <f t="shared" si="2"/>
        <v>-9.24000000000001</v>
      </c>
      <c r="N14" s="112">
        <f t="shared" si="3"/>
        <v>-288.372</v>
      </c>
      <c r="O14" s="120"/>
    </row>
    <row r="15" s="48" customFormat="1" ht="22" customHeight="1" spans="1:15">
      <c r="A15" s="109">
        <v>9</v>
      </c>
      <c r="B15" s="110" t="s">
        <v>78</v>
      </c>
      <c r="C15" s="109" t="s">
        <v>74</v>
      </c>
      <c r="D15" s="111">
        <v>10.2</v>
      </c>
      <c r="E15" s="111">
        <v>95.34</v>
      </c>
      <c r="F15" s="112">
        <f t="shared" si="4"/>
        <v>972.47</v>
      </c>
      <c r="G15" s="113">
        <v>12.57</v>
      </c>
      <c r="H15" s="111">
        <v>95.34</v>
      </c>
      <c r="I15" s="112">
        <f t="shared" si="1"/>
        <v>1198.4238</v>
      </c>
      <c r="J15" s="113">
        <v>12.57</v>
      </c>
      <c r="K15" s="111">
        <f>H15/1.11*1.0319</f>
        <v>88.6318432432432</v>
      </c>
      <c r="L15" s="112">
        <f t="shared" si="0"/>
        <v>1114.10226956757</v>
      </c>
      <c r="M15" s="112">
        <f t="shared" si="2"/>
        <v>0</v>
      </c>
      <c r="N15" s="112">
        <f t="shared" si="3"/>
        <v>-84.3215304324301</v>
      </c>
      <c r="O15" s="120"/>
    </row>
    <row r="16" s="48" customFormat="1" ht="22" customHeight="1" spans="1:15">
      <c r="A16" s="109">
        <v>10</v>
      </c>
      <c r="B16" s="110" t="s">
        <v>79</v>
      </c>
      <c r="C16" s="109" t="s">
        <v>80</v>
      </c>
      <c r="D16" s="111">
        <v>65.2935</v>
      </c>
      <c r="E16" s="111">
        <v>500</v>
      </c>
      <c r="F16" s="112">
        <f t="shared" ref="F8:F22" si="5">D16*E16</f>
        <v>32646.75</v>
      </c>
      <c r="G16" s="113">
        <v>89.85</v>
      </c>
      <c r="H16" s="111">
        <v>500</v>
      </c>
      <c r="I16" s="112">
        <f t="shared" si="1"/>
        <v>44925</v>
      </c>
      <c r="J16" s="113">
        <v>0</v>
      </c>
      <c r="K16" s="111">
        <f t="shared" ref="K16:K22" si="6">H16/1.11*1.0319</f>
        <v>464.81981981982</v>
      </c>
      <c r="L16" s="112">
        <f t="shared" si="0"/>
        <v>0</v>
      </c>
      <c r="M16" s="112">
        <f t="shared" si="2"/>
        <v>-89.85</v>
      </c>
      <c r="N16" s="112">
        <f t="shared" si="3"/>
        <v>-44925</v>
      </c>
      <c r="O16" s="120"/>
    </row>
    <row r="17" s="48" customFormat="1" ht="22" customHeight="1" spans="1:15">
      <c r="A17" s="109">
        <v>11</v>
      </c>
      <c r="B17" s="110" t="s">
        <v>81</v>
      </c>
      <c r="C17" s="109" t="s">
        <v>68</v>
      </c>
      <c r="D17" s="111">
        <v>0</v>
      </c>
      <c r="E17" s="111">
        <v>300</v>
      </c>
      <c r="F17" s="112">
        <f t="shared" si="5"/>
        <v>0</v>
      </c>
      <c r="G17" s="113">
        <v>0</v>
      </c>
      <c r="H17" s="111">
        <v>300</v>
      </c>
      <c r="I17" s="112">
        <f t="shared" si="1"/>
        <v>0</v>
      </c>
      <c r="J17" s="113">
        <v>0</v>
      </c>
      <c r="K17" s="111">
        <f t="shared" si="6"/>
        <v>278.891891891892</v>
      </c>
      <c r="L17" s="112">
        <f t="shared" si="0"/>
        <v>0</v>
      </c>
      <c r="M17" s="112">
        <f t="shared" si="2"/>
        <v>0</v>
      </c>
      <c r="N17" s="112">
        <f t="shared" si="3"/>
        <v>0</v>
      </c>
      <c r="O17" s="120"/>
    </row>
    <row r="18" s="48" customFormat="1" ht="22" customHeight="1" spans="1:15">
      <c r="A18" s="109">
        <v>12</v>
      </c>
      <c r="B18" s="110" t="s">
        <v>82</v>
      </c>
      <c r="C18" s="109" t="s">
        <v>83</v>
      </c>
      <c r="D18" s="111">
        <v>1</v>
      </c>
      <c r="E18" s="111">
        <v>1500</v>
      </c>
      <c r="F18" s="112">
        <f t="shared" si="5"/>
        <v>1500</v>
      </c>
      <c r="G18" s="113">
        <v>1</v>
      </c>
      <c r="H18" s="111">
        <v>1500</v>
      </c>
      <c r="I18" s="112">
        <f t="shared" si="1"/>
        <v>1500</v>
      </c>
      <c r="J18" s="113">
        <v>1</v>
      </c>
      <c r="K18" s="111">
        <f t="shared" si="6"/>
        <v>1394.45945945946</v>
      </c>
      <c r="L18" s="112">
        <f t="shared" si="0"/>
        <v>1394.45945945946</v>
      </c>
      <c r="M18" s="112">
        <f t="shared" si="2"/>
        <v>0</v>
      </c>
      <c r="N18" s="112">
        <f t="shared" si="3"/>
        <v>-105.54054054054</v>
      </c>
      <c r="O18" s="120"/>
    </row>
    <row r="19" s="48" customFormat="1" ht="22" customHeight="1" spans="1:15">
      <c r="A19" s="109">
        <v>13</v>
      </c>
      <c r="B19" s="110" t="s">
        <v>84</v>
      </c>
      <c r="C19" s="109" t="s">
        <v>85</v>
      </c>
      <c r="D19" s="111">
        <v>1</v>
      </c>
      <c r="E19" s="111">
        <v>8000</v>
      </c>
      <c r="F19" s="112">
        <f t="shared" si="5"/>
        <v>8000</v>
      </c>
      <c r="G19" s="113">
        <v>1</v>
      </c>
      <c r="H19" s="111">
        <v>8000</v>
      </c>
      <c r="I19" s="112">
        <f t="shared" si="1"/>
        <v>8000</v>
      </c>
      <c r="J19" s="113">
        <v>1</v>
      </c>
      <c r="K19" s="111">
        <f t="shared" si="6"/>
        <v>7437.11711711712</v>
      </c>
      <c r="L19" s="112">
        <f t="shared" si="0"/>
        <v>7437.11711711712</v>
      </c>
      <c r="M19" s="112">
        <f t="shared" si="2"/>
        <v>0</v>
      </c>
      <c r="N19" s="112">
        <f t="shared" si="3"/>
        <v>-562.88288288288</v>
      </c>
      <c r="O19" s="120"/>
    </row>
    <row r="20" s="48" customFormat="1" ht="22" customHeight="1" spans="1:15">
      <c r="A20" s="109">
        <v>14</v>
      </c>
      <c r="B20" s="110" t="s">
        <v>86</v>
      </c>
      <c r="C20" s="109" t="s">
        <v>87</v>
      </c>
      <c r="D20" s="111">
        <v>1</v>
      </c>
      <c r="E20" s="111">
        <v>200</v>
      </c>
      <c r="F20" s="112">
        <f t="shared" si="5"/>
        <v>200</v>
      </c>
      <c r="G20" s="113">
        <v>1</v>
      </c>
      <c r="H20" s="111">
        <v>200</v>
      </c>
      <c r="I20" s="112">
        <f t="shared" si="1"/>
        <v>200</v>
      </c>
      <c r="J20" s="113">
        <v>1</v>
      </c>
      <c r="K20" s="111">
        <f t="shared" si="6"/>
        <v>185.927927927928</v>
      </c>
      <c r="L20" s="112">
        <f t="shared" si="0"/>
        <v>185.927927927928</v>
      </c>
      <c r="M20" s="112">
        <f t="shared" si="2"/>
        <v>0</v>
      </c>
      <c r="N20" s="112">
        <f t="shared" si="3"/>
        <v>-14.072072072072</v>
      </c>
      <c r="O20" s="120"/>
    </row>
    <row r="21" s="48" customFormat="1" ht="22" customHeight="1" spans="1:15">
      <c r="A21" s="109">
        <v>15</v>
      </c>
      <c r="B21" s="110" t="s">
        <v>88</v>
      </c>
      <c r="C21" s="109" t="s">
        <v>89</v>
      </c>
      <c r="D21" s="111">
        <v>1</v>
      </c>
      <c r="E21" s="111">
        <v>3500</v>
      </c>
      <c r="F21" s="112">
        <f t="shared" si="5"/>
        <v>3500</v>
      </c>
      <c r="G21" s="113">
        <v>1</v>
      </c>
      <c r="H21" s="111">
        <v>3500</v>
      </c>
      <c r="I21" s="112">
        <f t="shared" si="1"/>
        <v>3500</v>
      </c>
      <c r="J21" s="113">
        <v>1</v>
      </c>
      <c r="K21" s="111">
        <f t="shared" si="6"/>
        <v>3253.73873873874</v>
      </c>
      <c r="L21" s="112">
        <f t="shared" si="0"/>
        <v>3253.73873873874</v>
      </c>
      <c r="M21" s="112">
        <f t="shared" si="2"/>
        <v>0</v>
      </c>
      <c r="N21" s="112">
        <f t="shared" si="3"/>
        <v>-246.26126126126</v>
      </c>
      <c r="O21" s="120"/>
    </row>
    <row r="22" s="48" customFormat="1" ht="22" customHeight="1" spans="1:15">
      <c r="A22" s="109">
        <v>16</v>
      </c>
      <c r="B22" s="110" t="s">
        <v>90</v>
      </c>
      <c r="C22" s="109" t="s">
        <v>91</v>
      </c>
      <c r="D22" s="111">
        <v>10</v>
      </c>
      <c r="E22" s="111">
        <v>200</v>
      </c>
      <c r="F22" s="112">
        <f t="shared" si="5"/>
        <v>2000</v>
      </c>
      <c r="G22" s="113">
        <v>10</v>
      </c>
      <c r="H22" s="111">
        <v>200</v>
      </c>
      <c r="I22" s="112">
        <f t="shared" si="1"/>
        <v>2000</v>
      </c>
      <c r="J22" s="113">
        <v>10</v>
      </c>
      <c r="K22" s="111">
        <f t="shared" si="6"/>
        <v>185.927927927928</v>
      </c>
      <c r="L22" s="112">
        <f t="shared" si="0"/>
        <v>1859.27927927928</v>
      </c>
      <c r="M22" s="112">
        <f t="shared" si="2"/>
        <v>0</v>
      </c>
      <c r="N22" s="112">
        <f t="shared" si="3"/>
        <v>-140.72072072072</v>
      </c>
      <c r="O22" s="120"/>
    </row>
    <row r="23" s="48" customFormat="1" ht="22" customHeight="1" spans="1:15">
      <c r="A23" s="109" t="s">
        <v>92</v>
      </c>
      <c r="B23" s="110" t="s">
        <v>93</v>
      </c>
      <c r="C23" s="109" t="s">
        <v>94</v>
      </c>
      <c r="D23" s="111"/>
      <c r="E23" s="111"/>
      <c r="F23" s="112"/>
      <c r="G23" s="113"/>
      <c r="H23" s="111"/>
      <c r="I23" s="112"/>
      <c r="J23" s="113">
        <f>二次转运材料汇总表!E34+二次转运材料汇总表!F34+二次转运材料汇总表!G34+二次转运材料汇总表!H34</f>
        <v>16.5011547</v>
      </c>
      <c r="K23" s="111">
        <v>65.17</v>
      </c>
      <c r="L23" s="112">
        <f t="shared" si="0"/>
        <v>1075.380251799</v>
      </c>
      <c r="M23" s="112">
        <f t="shared" si="2"/>
        <v>16.5011547</v>
      </c>
      <c r="N23" s="112">
        <f t="shared" si="3"/>
        <v>1075.380251799</v>
      </c>
      <c r="O23" s="120"/>
    </row>
    <row r="24" s="48" customFormat="1" ht="22" customHeight="1" spans="1:15">
      <c r="A24" s="109" t="s">
        <v>95</v>
      </c>
      <c r="B24" s="110" t="s">
        <v>96</v>
      </c>
      <c r="C24" s="109" t="s">
        <v>68</v>
      </c>
      <c r="D24" s="111"/>
      <c r="E24" s="111"/>
      <c r="F24" s="112"/>
      <c r="G24" s="113"/>
      <c r="H24" s="111"/>
      <c r="I24" s="112"/>
      <c r="J24" s="113">
        <f>二次转运材料汇总表!I34+二次转运材料汇总表!J34+二次转运材料汇总表!K34+二次转运材料汇总表!L34</f>
        <v>36.671104</v>
      </c>
      <c r="K24" s="111">
        <v>84.71</v>
      </c>
      <c r="L24" s="112">
        <f t="shared" ref="L24:L27" si="7">J24*K24</f>
        <v>3106.40921984</v>
      </c>
      <c r="M24" s="112">
        <f t="shared" si="2"/>
        <v>36.671104</v>
      </c>
      <c r="N24" s="112">
        <f t="shared" si="3"/>
        <v>3106.40921984</v>
      </c>
      <c r="O24" s="120"/>
    </row>
    <row r="25" s="48" customFormat="1" ht="22" customHeight="1" spans="1:15">
      <c r="A25" s="109" t="s">
        <v>97</v>
      </c>
      <c r="B25" s="110" t="s">
        <v>98</v>
      </c>
      <c r="C25" s="109" t="s">
        <v>68</v>
      </c>
      <c r="D25" s="111"/>
      <c r="E25" s="111"/>
      <c r="F25" s="112"/>
      <c r="G25" s="113"/>
      <c r="H25" s="111"/>
      <c r="I25" s="112"/>
      <c r="J25" s="113">
        <f>二次转运材料汇总表!M34+二次转运材料汇总表!N34</f>
        <v>30.456</v>
      </c>
      <c r="K25" s="111">
        <v>97.77</v>
      </c>
      <c r="L25" s="112">
        <f t="shared" si="7"/>
        <v>2977.68312</v>
      </c>
      <c r="M25" s="112">
        <f t="shared" si="2"/>
        <v>30.456</v>
      </c>
      <c r="N25" s="112">
        <f t="shared" si="3"/>
        <v>2977.68312</v>
      </c>
      <c r="O25" s="120"/>
    </row>
    <row r="26" s="48" customFormat="1" ht="22" customHeight="1" spans="1:15">
      <c r="A26" s="109" t="s">
        <v>99</v>
      </c>
      <c r="B26" s="110" t="s">
        <v>100</v>
      </c>
      <c r="C26" s="109" t="s">
        <v>101</v>
      </c>
      <c r="D26" s="111"/>
      <c r="E26" s="111"/>
      <c r="F26" s="112"/>
      <c r="G26" s="113"/>
      <c r="H26" s="111"/>
      <c r="I26" s="112"/>
      <c r="J26" s="113">
        <f>二次转运材料汇总表!O34</f>
        <v>20.9862</v>
      </c>
      <c r="K26" s="111">
        <f>K23*2.5</f>
        <v>162.925</v>
      </c>
      <c r="L26" s="112">
        <f t="shared" si="7"/>
        <v>3419.176635</v>
      </c>
      <c r="M26" s="112">
        <f t="shared" si="2"/>
        <v>20.9862</v>
      </c>
      <c r="N26" s="112">
        <f t="shared" si="3"/>
        <v>3419.176635</v>
      </c>
      <c r="O26" s="120"/>
    </row>
    <row r="27" s="48" customFormat="1" ht="22" customHeight="1" spans="1:15">
      <c r="A27" s="109" t="s">
        <v>102</v>
      </c>
      <c r="B27" s="110" t="s">
        <v>103</v>
      </c>
      <c r="C27" s="109" t="s">
        <v>94</v>
      </c>
      <c r="D27" s="111"/>
      <c r="E27" s="111"/>
      <c r="F27" s="112"/>
      <c r="G27" s="113"/>
      <c r="H27" s="111"/>
      <c r="I27" s="112"/>
      <c r="J27" s="113">
        <f>二次转运材料汇总表!P34</f>
        <v>3.34159</v>
      </c>
      <c r="K27" s="111">
        <v>65.17</v>
      </c>
      <c r="L27" s="112">
        <f t="shared" si="7"/>
        <v>217.7714203</v>
      </c>
      <c r="M27" s="112">
        <f t="shared" si="2"/>
        <v>3.34159</v>
      </c>
      <c r="N27" s="112">
        <f t="shared" si="3"/>
        <v>217.7714203</v>
      </c>
      <c r="O27" s="120"/>
    </row>
    <row r="28" s="48" customFormat="1" ht="22" customHeight="1" spans="1:15">
      <c r="A28" s="104" t="s">
        <v>16</v>
      </c>
      <c r="B28" s="108" t="s">
        <v>17</v>
      </c>
      <c r="C28" s="104" t="s">
        <v>13</v>
      </c>
      <c r="D28" s="105"/>
      <c r="E28" s="105"/>
      <c r="F28" s="106">
        <f>SUM(F29:F35)</f>
        <v>0</v>
      </c>
      <c r="G28" s="107"/>
      <c r="H28" s="105"/>
      <c r="I28" s="106">
        <f>SUM(I29:I35)</f>
        <v>7072.6198</v>
      </c>
      <c r="J28" s="107"/>
      <c r="K28" s="105"/>
      <c r="L28" s="106">
        <f>SUM(L29:L35)</f>
        <v>7049.90965405405</v>
      </c>
      <c r="M28" s="112"/>
      <c r="N28" s="121">
        <f>SUM(N29:N35)</f>
        <v>-22.7101459459461</v>
      </c>
      <c r="O28" s="120"/>
    </row>
    <row r="29" s="48" customFormat="1" ht="22" customHeight="1" spans="1:15">
      <c r="A29" s="109">
        <v>1</v>
      </c>
      <c r="B29" s="110" t="s">
        <v>69</v>
      </c>
      <c r="C29" s="109" t="s">
        <v>68</v>
      </c>
      <c r="D29" s="111">
        <v>0</v>
      </c>
      <c r="E29" s="111">
        <v>57.04</v>
      </c>
      <c r="F29" s="112">
        <f t="shared" ref="F29:F35" si="8">D29*E29</f>
        <v>0</v>
      </c>
      <c r="G29" s="113">
        <v>6.61</v>
      </c>
      <c r="H29" s="111">
        <v>57.04</v>
      </c>
      <c r="I29" s="112">
        <f t="shared" ref="I29:I35" si="9">G29*H29</f>
        <v>377.0344</v>
      </c>
      <c r="J29" s="113">
        <v>6.61</v>
      </c>
      <c r="K29" s="111">
        <v>59.29</v>
      </c>
      <c r="L29" s="112">
        <f t="shared" ref="L29:L35" si="10">J29*K29</f>
        <v>391.9069</v>
      </c>
      <c r="M29" s="112">
        <f t="shared" si="2"/>
        <v>0</v>
      </c>
      <c r="N29" s="112">
        <f>L29-I29</f>
        <v>14.8725</v>
      </c>
      <c r="O29" s="120"/>
    </row>
    <row r="30" s="48" customFormat="1" ht="22" customHeight="1" spans="1:15">
      <c r="A30" s="109">
        <v>2</v>
      </c>
      <c r="B30" s="110" t="s">
        <v>71</v>
      </c>
      <c r="C30" s="109" t="s">
        <v>68</v>
      </c>
      <c r="D30" s="111">
        <v>0</v>
      </c>
      <c r="E30" s="111">
        <v>562.3</v>
      </c>
      <c r="F30" s="112">
        <f t="shared" si="8"/>
        <v>0</v>
      </c>
      <c r="G30" s="113">
        <v>3.52</v>
      </c>
      <c r="H30" s="111">
        <v>562.3</v>
      </c>
      <c r="I30" s="112">
        <f t="shared" si="9"/>
        <v>1979.296</v>
      </c>
      <c r="J30" s="113">
        <v>3.52</v>
      </c>
      <c r="K30" s="111">
        <v>554.08</v>
      </c>
      <c r="L30" s="112">
        <f t="shared" si="10"/>
        <v>1950.3616</v>
      </c>
      <c r="M30" s="112">
        <f t="shared" si="2"/>
        <v>0</v>
      </c>
      <c r="N30" s="112">
        <f t="shared" ref="N30:N35" si="11">L30-I30</f>
        <v>-28.9344000000001</v>
      </c>
      <c r="O30" s="120"/>
    </row>
    <row r="31" s="48" customFormat="1" ht="22" customHeight="1" spans="1:15">
      <c r="A31" s="109">
        <v>3</v>
      </c>
      <c r="B31" s="110" t="s">
        <v>72</v>
      </c>
      <c r="C31" s="109" t="s">
        <v>68</v>
      </c>
      <c r="D31" s="111">
        <v>0</v>
      </c>
      <c r="E31" s="111">
        <v>515.71</v>
      </c>
      <c r="F31" s="112">
        <f t="shared" si="8"/>
        <v>0</v>
      </c>
      <c r="G31" s="113">
        <v>2.35</v>
      </c>
      <c r="H31" s="111">
        <v>515.71</v>
      </c>
      <c r="I31" s="112">
        <f t="shared" si="9"/>
        <v>1211.9185</v>
      </c>
      <c r="J31" s="113">
        <v>2.35</v>
      </c>
      <c r="K31" s="111">
        <v>488.14</v>
      </c>
      <c r="L31" s="112">
        <f t="shared" si="10"/>
        <v>1147.129</v>
      </c>
      <c r="M31" s="112">
        <f t="shared" si="2"/>
        <v>0</v>
      </c>
      <c r="N31" s="112">
        <f t="shared" si="11"/>
        <v>-64.7895000000001</v>
      </c>
      <c r="O31" s="120"/>
    </row>
    <row r="32" s="48" customFormat="1" ht="22" customHeight="1" spans="1:15">
      <c r="A32" s="109">
        <v>4</v>
      </c>
      <c r="B32" s="110" t="s">
        <v>75</v>
      </c>
      <c r="C32" s="109" t="s">
        <v>76</v>
      </c>
      <c r="D32" s="111">
        <v>0</v>
      </c>
      <c r="E32" s="111">
        <v>5.66</v>
      </c>
      <c r="F32" s="112">
        <f t="shared" si="8"/>
        <v>0</v>
      </c>
      <c r="G32" s="113">
        <v>270.65</v>
      </c>
      <c r="H32" s="111">
        <v>5.66</v>
      </c>
      <c r="I32" s="112">
        <f t="shared" si="9"/>
        <v>1531.879</v>
      </c>
      <c r="J32" s="113">
        <v>270.65</v>
      </c>
      <c r="K32" s="111">
        <v>5.96</v>
      </c>
      <c r="L32" s="112">
        <f t="shared" si="10"/>
        <v>1613.074</v>
      </c>
      <c r="M32" s="112">
        <f t="shared" si="2"/>
        <v>0</v>
      </c>
      <c r="N32" s="112">
        <f t="shared" si="11"/>
        <v>81.1950000000002</v>
      </c>
      <c r="O32" s="120"/>
    </row>
    <row r="33" s="48" customFormat="1" ht="22" customHeight="1" spans="1:15">
      <c r="A33" s="109">
        <v>5</v>
      </c>
      <c r="B33" s="110" t="s">
        <v>73</v>
      </c>
      <c r="C33" s="109" t="s">
        <v>74</v>
      </c>
      <c r="D33" s="111">
        <v>0</v>
      </c>
      <c r="E33" s="111">
        <v>58.41</v>
      </c>
      <c r="F33" s="112">
        <f t="shared" si="8"/>
        <v>0</v>
      </c>
      <c r="G33" s="113">
        <v>16.71</v>
      </c>
      <c r="H33" s="111">
        <v>58.41</v>
      </c>
      <c r="I33" s="112">
        <f t="shared" si="9"/>
        <v>976.0311</v>
      </c>
      <c r="J33" s="113">
        <v>16.71</v>
      </c>
      <c r="K33" s="111">
        <v>60.07</v>
      </c>
      <c r="L33" s="112">
        <f t="shared" si="10"/>
        <v>1003.7697</v>
      </c>
      <c r="M33" s="112">
        <f t="shared" si="2"/>
        <v>0</v>
      </c>
      <c r="N33" s="112">
        <f t="shared" si="11"/>
        <v>27.7385999999999</v>
      </c>
      <c r="O33" s="120"/>
    </row>
    <row r="34" s="48" customFormat="1" ht="22" customHeight="1" spans="1:15">
      <c r="A34" s="109">
        <v>6</v>
      </c>
      <c r="B34" s="110" t="s">
        <v>77</v>
      </c>
      <c r="C34" s="109" t="s">
        <v>74</v>
      </c>
      <c r="D34" s="111">
        <v>0</v>
      </c>
      <c r="E34" s="111">
        <v>16.32</v>
      </c>
      <c r="F34" s="112">
        <f t="shared" si="8"/>
        <v>0</v>
      </c>
      <c r="G34" s="113">
        <v>29.44</v>
      </c>
      <c r="H34" s="111">
        <v>16.32</v>
      </c>
      <c r="I34" s="112">
        <f t="shared" si="9"/>
        <v>480.4608</v>
      </c>
      <c r="J34" s="113">
        <v>29.44</v>
      </c>
      <c r="K34" s="111">
        <v>15.76</v>
      </c>
      <c r="L34" s="112">
        <f t="shared" si="10"/>
        <v>463.9744</v>
      </c>
      <c r="M34" s="112">
        <f t="shared" si="2"/>
        <v>0</v>
      </c>
      <c r="N34" s="112">
        <f t="shared" si="11"/>
        <v>-16.4864</v>
      </c>
      <c r="O34" s="120"/>
    </row>
    <row r="35" s="48" customFormat="1" ht="22" customHeight="1" spans="1:15">
      <c r="A35" s="109">
        <v>7</v>
      </c>
      <c r="B35" s="110" t="s">
        <v>104</v>
      </c>
      <c r="C35" s="109" t="s">
        <v>105</v>
      </c>
      <c r="D35" s="111">
        <v>0</v>
      </c>
      <c r="E35" s="111">
        <v>0</v>
      </c>
      <c r="F35" s="112">
        <f t="shared" si="8"/>
        <v>0</v>
      </c>
      <c r="G35" s="113">
        <v>1</v>
      </c>
      <c r="H35" s="111">
        <v>516</v>
      </c>
      <c r="I35" s="112">
        <f t="shared" si="9"/>
        <v>516</v>
      </c>
      <c r="J35" s="113">
        <v>1</v>
      </c>
      <c r="K35" s="111">
        <f>H35/1.11*1.0319</f>
        <v>479.694054054054</v>
      </c>
      <c r="L35" s="112">
        <f t="shared" si="10"/>
        <v>479.694054054054</v>
      </c>
      <c r="M35" s="112">
        <f t="shared" si="2"/>
        <v>0</v>
      </c>
      <c r="N35" s="112">
        <f t="shared" si="11"/>
        <v>-36.305945945946</v>
      </c>
      <c r="O35" s="120"/>
    </row>
    <row r="36" s="48" customFormat="1" ht="22" customHeight="1" spans="1:15">
      <c r="A36" s="104" t="s">
        <v>18</v>
      </c>
      <c r="B36" s="108" t="s">
        <v>19</v>
      </c>
      <c r="C36" s="104" t="s">
        <v>13</v>
      </c>
      <c r="D36" s="105"/>
      <c r="E36" s="105"/>
      <c r="F36" s="106">
        <f>SUM(F37:F47)</f>
        <v>0</v>
      </c>
      <c r="G36" s="107"/>
      <c r="H36" s="105"/>
      <c r="I36" s="106">
        <f>SUM(I37:I47)</f>
        <v>26020.1727</v>
      </c>
      <c r="J36" s="107"/>
      <c r="K36" s="105"/>
      <c r="L36" s="106">
        <f>SUM(L37:L47)</f>
        <v>25391.0831783964</v>
      </c>
      <c r="M36" s="112"/>
      <c r="N36" s="121">
        <f>SUM(N37:N47)</f>
        <v>-629.089521603604</v>
      </c>
      <c r="O36" s="120"/>
    </row>
    <row r="37" s="48" customFormat="1" ht="22" customHeight="1" spans="1:15">
      <c r="A37" s="109">
        <v>1</v>
      </c>
      <c r="B37" s="110" t="s">
        <v>67</v>
      </c>
      <c r="C37" s="109" t="s">
        <v>68</v>
      </c>
      <c r="D37" s="111">
        <v>0</v>
      </c>
      <c r="E37" s="111">
        <v>19.7</v>
      </c>
      <c r="F37" s="112">
        <f>D37*E37</f>
        <v>0</v>
      </c>
      <c r="G37" s="113">
        <v>3.46</v>
      </c>
      <c r="H37" s="111">
        <v>19.7</v>
      </c>
      <c r="I37" s="112">
        <f>G37*H37</f>
        <v>68.162</v>
      </c>
      <c r="J37" s="113">
        <v>3.46</v>
      </c>
      <c r="K37" s="111">
        <v>20.63</v>
      </c>
      <c r="L37" s="112">
        <f t="shared" ref="L37:L47" si="12">J37*K37</f>
        <v>71.3798</v>
      </c>
      <c r="M37" s="112">
        <f t="shared" si="2"/>
        <v>0</v>
      </c>
      <c r="N37" s="112">
        <f>L37-I37</f>
        <v>3.2178</v>
      </c>
      <c r="O37" s="120"/>
    </row>
    <row r="38" s="48" customFormat="1" ht="22" customHeight="1" spans="1:15">
      <c r="A38" s="109">
        <v>2</v>
      </c>
      <c r="B38" s="110" t="s">
        <v>71</v>
      </c>
      <c r="C38" s="109" t="s">
        <v>68</v>
      </c>
      <c r="D38" s="111">
        <v>0</v>
      </c>
      <c r="E38" s="111">
        <v>562.3</v>
      </c>
      <c r="F38" s="112">
        <f t="shared" ref="F38:F47" si="13">D38*E38</f>
        <v>0</v>
      </c>
      <c r="G38" s="113">
        <v>10.92</v>
      </c>
      <c r="H38" s="111">
        <v>562.3</v>
      </c>
      <c r="I38" s="112">
        <f t="shared" ref="I38:I47" si="14">G38*H38</f>
        <v>6140.316</v>
      </c>
      <c r="J38" s="113">
        <v>10.92</v>
      </c>
      <c r="K38" s="111">
        <v>554.08</v>
      </c>
      <c r="L38" s="112">
        <f t="shared" si="12"/>
        <v>6050.5536</v>
      </c>
      <c r="M38" s="112">
        <f t="shared" si="2"/>
        <v>0</v>
      </c>
      <c r="N38" s="112">
        <f t="shared" ref="N38:N47" si="15">L38-I38</f>
        <v>-89.7623999999996</v>
      </c>
      <c r="O38" s="120"/>
    </row>
    <row r="39" s="48" customFormat="1" ht="22" customHeight="1" spans="1:15">
      <c r="A39" s="109">
        <v>3</v>
      </c>
      <c r="B39" s="110" t="s">
        <v>72</v>
      </c>
      <c r="C39" s="109" t="s">
        <v>68</v>
      </c>
      <c r="D39" s="111">
        <v>0</v>
      </c>
      <c r="E39" s="111">
        <v>515.71</v>
      </c>
      <c r="F39" s="112">
        <f t="shared" si="13"/>
        <v>0</v>
      </c>
      <c r="G39" s="113">
        <v>8.17</v>
      </c>
      <c r="H39" s="111">
        <v>515.71</v>
      </c>
      <c r="I39" s="112">
        <f t="shared" si="14"/>
        <v>4213.3507</v>
      </c>
      <c r="J39" s="113">
        <v>8.17</v>
      </c>
      <c r="K39" s="111">
        <v>488.14</v>
      </c>
      <c r="L39" s="112">
        <f t="shared" si="12"/>
        <v>3988.1038</v>
      </c>
      <c r="M39" s="112">
        <f t="shared" si="2"/>
        <v>0</v>
      </c>
      <c r="N39" s="112">
        <f t="shared" si="15"/>
        <v>-225.2469</v>
      </c>
      <c r="O39" s="120"/>
    </row>
    <row r="40" s="48" customFormat="1" ht="22" customHeight="1" spans="1:15">
      <c r="A40" s="109">
        <v>4</v>
      </c>
      <c r="B40" s="110" t="s">
        <v>75</v>
      </c>
      <c r="C40" s="109" t="s">
        <v>76</v>
      </c>
      <c r="D40" s="111">
        <v>0</v>
      </c>
      <c r="E40" s="111">
        <v>5.66</v>
      </c>
      <c r="F40" s="112">
        <f t="shared" si="13"/>
        <v>0</v>
      </c>
      <c r="G40" s="113">
        <v>757.93</v>
      </c>
      <c r="H40" s="111">
        <v>5.66</v>
      </c>
      <c r="I40" s="112">
        <f t="shared" si="14"/>
        <v>4289.8838</v>
      </c>
      <c r="J40" s="113">
        <v>757.93</v>
      </c>
      <c r="K40" s="111">
        <v>5.96</v>
      </c>
      <c r="L40" s="112">
        <f t="shared" si="12"/>
        <v>4517.2628</v>
      </c>
      <c r="M40" s="112">
        <f t="shared" ref="M40:M71" si="16">J40-G40</f>
        <v>0</v>
      </c>
      <c r="N40" s="112">
        <f t="shared" si="15"/>
        <v>227.379000000001</v>
      </c>
      <c r="O40" s="120"/>
    </row>
    <row r="41" s="48" customFormat="1" ht="22" customHeight="1" spans="1:15">
      <c r="A41" s="109">
        <v>5</v>
      </c>
      <c r="B41" s="110" t="s">
        <v>73</v>
      </c>
      <c r="C41" s="109" t="s">
        <v>74</v>
      </c>
      <c r="D41" s="111">
        <v>0</v>
      </c>
      <c r="E41" s="111">
        <v>58.41</v>
      </c>
      <c r="F41" s="112">
        <f t="shared" si="13"/>
        <v>0</v>
      </c>
      <c r="G41" s="113">
        <v>35.64</v>
      </c>
      <c r="H41" s="111">
        <v>58.41</v>
      </c>
      <c r="I41" s="112">
        <f t="shared" si="14"/>
        <v>2081.7324</v>
      </c>
      <c r="J41" s="113">
        <v>35.64</v>
      </c>
      <c r="K41" s="111">
        <v>60.07</v>
      </c>
      <c r="L41" s="112">
        <f t="shared" si="12"/>
        <v>2140.8948</v>
      </c>
      <c r="M41" s="112">
        <f t="shared" si="16"/>
        <v>0</v>
      </c>
      <c r="N41" s="112">
        <f t="shared" si="15"/>
        <v>59.1624000000002</v>
      </c>
      <c r="O41" s="120"/>
    </row>
    <row r="42" s="48" customFormat="1" ht="22" customHeight="1" spans="1:15">
      <c r="A42" s="109">
        <v>6</v>
      </c>
      <c r="B42" s="110" t="s">
        <v>77</v>
      </c>
      <c r="C42" s="109" t="s">
        <v>74</v>
      </c>
      <c r="D42" s="111">
        <v>0</v>
      </c>
      <c r="E42" s="111">
        <v>16.32</v>
      </c>
      <c r="F42" s="112">
        <f t="shared" si="13"/>
        <v>0</v>
      </c>
      <c r="G42" s="113">
        <v>77.1</v>
      </c>
      <c r="H42" s="111">
        <v>16.32</v>
      </c>
      <c r="I42" s="112">
        <f t="shared" si="14"/>
        <v>1258.272</v>
      </c>
      <c r="J42" s="113">
        <v>77.1</v>
      </c>
      <c r="K42" s="111">
        <v>15.76</v>
      </c>
      <c r="L42" s="112">
        <f t="shared" si="12"/>
        <v>1215.096</v>
      </c>
      <c r="M42" s="112">
        <f t="shared" si="16"/>
        <v>0</v>
      </c>
      <c r="N42" s="112">
        <f t="shared" si="15"/>
        <v>-43.1759999999999</v>
      </c>
      <c r="O42" s="120"/>
    </row>
    <row r="43" s="48" customFormat="1" ht="22" customHeight="1" spans="1:15">
      <c r="A43" s="109">
        <v>7</v>
      </c>
      <c r="B43" s="110" t="s">
        <v>78</v>
      </c>
      <c r="C43" s="109" t="s">
        <v>74</v>
      </c>
      <c r="D43" s="111">
        <v>0</v>
      </c>
      <c r="E43" s="111">
        <v>95.34</v>
      </c>
      <c r="F43" s="112">
        <f t="shared" si="13"/>
        <v>0</v>
      </c>
      <c r="G43" s="113">
        <v>52.87</v>
      </c>
      <c r="H43" s="111">
        <v>95.34</v>
      </c>
      <c r="I43" s="112">
        <f t="shared" si="14"/>
        <v>5040.6258</v>
      </c>
      <c r="J43" s="113">
        <v>52.87</v>
      </c>
      <c r="K43" s="111">
        <f>H43/1.11*1.0319</f>
        <v>88.6318432432432</v>
      </c>
      <c r="L43" s="112">
        <f t="shared" si="12"/>
        <v>4685.96555227027</v>
      </c>
      <c r="M43" s="112">
        <f t="shared" si="16"/>
        <v>0</v>
      </c>
      <c r="N43" s="112">
        <f t="shared" si="15"/>
        <v>-354.66024772973</v>
      </c>
      <c r="O43" s="120"/>
    </row>
    <row r="44" s="48" customFormat="1" ht="22" customHeight="1" spans="1:15">
      <c r="A44" s="109">
        <v>8</v>
      </c>
      <c r="B44" s="114" t="s">
        <v>106</v>
      </c>
      <c r="C44" s="109" t="s">
        <v>105</v>
      </c>
      <c r="D44" s="111">
        <v>0</v>
      </c>
      <c r="E44" s="111">
        <v>0</v>
      </c>
      <c r="F44" s="112">
        <f t="shared" si="13"/>
        <v>0</v>
      </c>
      <c r="G44" s="113">
        <v>1</v>
      </c>
      <c r="H44" s="111">
        <v>650</v>
      </c>
      <c r="I44" s="112">
        <f t="shared" si="14"/>
        <v>650</v>
      </c>
      <c r="J44" s="113">
        <v>1</v>
      </c>
      <c r="K44" s="111">
        <f t="shared" ref="K44:K47" si="17">H44/1.11*1.0319</f>
        <v>604.265765765766</v>
      </c>
      <c r="L44" s="112">
        <f t="shared" si="12"/>
        <v>604.265765765766</v>
      </c>
      <c r="M44" s="112">
        <f t="shared" si="16"/>
        <v>0</v>
      </c>
      <c r="N44" s="112">
        <f t="shared" si="15"/>
        <v>-45.734234234234</v>
      </c>
      <c r="O44" s="120"/>
    </row>
    <row r="45" s="48" customFormat="1" ht="22" customHeight="1" spans="1:15">
      <c r="A45" s="109">
        <v>9</v>
      </c>
      <c r="B45" s="114" t="s">
        <v>107</v>
      </c>
      <c r="C45" s="109" t="s">
        <v>105</v>
      </c>
      <c r="D45" s="111">
        <v>0</v>
      </c>
      <c r="E45" s="111">
        <v>0</v>
      </c>
      <c r="F45" s="112">
        <f t="shared" si="13"/>
        <v>0</v>
      </c>
      <c r="G45" s="113">
        <v>1</v>
      </c>
      <c r="H45" s="111">
        <v>130</v>
      </c>
      <c r="I45" s="112">
        <f t="shared" si="14"/>
        <v>130</v>
      </c>
      <c r="J45" s="113">
        <v>1</v>
      </c>
      <c r="K45" s="111">
        <f t="shared" si="17"/>
        <v>120.853153153153</v>
      </c>
      <c r="L45" s="112">
        <f t="shared" si="12"/>
        <v>120.853153153153</v>
      </c>
      <c r="M45" s="112">
        <f t="shared" si="16"/>
        <v>0</v>
      </c>
      <c r="N45" s="112">
        <f t="shared" si="15"/>
        <v>-9.146846846847</v>
      </c>
      <c r="O45" s="120"/>
    </row>
    <row r="46" s="48" customFormat="1" ht="22" customHeight="1" spans="1:15">
      <c r="A46" s="109">
        <v>10</v>
      </c>
      <c r="B46" s="114" t="s">
        <v>108</v>
      </c>
      <c r="C46" s="109" t="s">
        <v>105</v>
      </c>
      <c r="D46" s="111">
        <v>0</v>
      </c>
      <c r="E46" s="111">
        <v>0</v>
      </c>
      <c r="F46" s="112">
        <f t="shared" si="13"/>
        <v>0</v>
      </c>
      <c r="G46" s="113">
        <v>1</v>
      </c>
      <c r="H46" s="111">
        <v>400</v>
      </c>
      <c r="I46" s="112">
        <f t="shared" si="14"/>
        <v>400</v>
      </c>
      <c r="J46" s="113">
        <v>1</v>
      </c>
      <c r="K46" s="111">
        <f t="shared" si="17"/>
        <v>371.855855855856</v>
      </c>
      <c r="L46" s="112">
        <f t="shared" si="12"/>
        <v>371.855855855856</v>
      </c>
      <c r="M46" s="112">
        <f t="shared" si="16"/>
        <v>0</v>
      </c>
      <c r="N46" s="112">
        <f t="shared" si="15"/>
        <v>-28.144144144144</v>
      </c>
      <c r="O46" s="120"/>
    </row>
    <row r="47" s="48" customFormat="1" ht="22" customHeight="1" spans="1:15">
      <c r="A47" s="109">
        <v>11</v>
      </c>
      <c r="B47" s="114" t="s">
        <v>109</v>
      </c>
      <c r="C47" s="109" t="s">
        <v>74</v>
      </c>
      <c r="D47" s="111">
        <v>0</v>
      </c>
      <c r="E47" s="111">
        <v>0</v>
      </c>
      <c r="F47" s="112">
        <f t="shared" si="13"/>
        <v>0</v>
      </c>
      <c r="G47" s="113">
        <v>35.67</v>
      </c>
      <c r="H47" s="111">
        <v>49</v>
      </c>
      <c r="I47" s="112">
        <f t="shared" si="14"/>
        <v>1747.83</v>
      </c>
      <c r="J47" s="113">
        <v>35.67</v>
      </c>
      <c r="K47" s="111">
        <f t="shared" si="17"/>
        <v>45.5523423423423</v>
      </c>
      <c r="L47" s="112">
        <f t="shared" si="12"/>
        <v>1624.85205135135</v>
      </c>
      <c r="M47" s="112">
        <f t="shared" si="16"/>
        <v>0</v>
      </c>
      <c r="N47" s="112">
        <f t="shared" si="15"/>
        <v>-122.97794864865</v>
      </c>
      <c r="O47" s="120"/>
    </row>
    <row r="48" s="48" customFormat="1" ht="22" customHeight="1" spans="1:15">
      <c r="A48" s="104" t="s">
        <v>20</v>
      </c>
      <c r="B48" s="108" t="s">
        <v>21</v>
      </c>
      <c r="C48" s="104" t="s">
        <v>13</v>
      </c>
      <c r="D48" s="105"/>
      <c r="E48" s="105"/>
      <c r="F48" s="106">
        <f>SUM(F49:F53)</f>
        <v>0</v>
      </c>
      <c r="G48" s="107"/>
      <c r="H48" s="105"/>
      <c r="I48" s="106">
        <f>SUM(I49:I53)</f>
        <v>516.3035</v>
      </c>
      <c r="J48" s="107"/>
      <c r="K48" s="105"/>
      <c r="L48" s="106">
        <f>SUM(L49:L53)</f>
        <v>498.062796216216</v>
      </c>
      <c r="M48" s="112"/>
      <c r="N48" s="121">
        <f>SUM(N49:N53)</f>
        <v>-18.240703783784</v>
      </c>
      <c r="O48" s="120"/>
    </row>
    <row r="49" s="48" customFormat="1" ht="22" customHeight="1" spans="1:15">
      <c r="A49" s="109">
        <v>1</v>
      </c>
      <c r="B49" s="110" t="s">
        <v>70</v>
      </c>
      <c r="C49" s="109" t="s">
        <v>68</v>
      </c>
      <c r="D49" s="111">
        <v>0</v>
      </c>
      <c r="E49" s="111">
        <v>24.9</v>
      </c>
      <c r="F49" s="112">
        <f>D49*E49</f>
        <v>0</v>
      </c>
      <c r="G49" s="113">
        <v>0.54</v>
      </c>
      <c r="H49" s="111">
        <v>24.9</v>
      </c>
      <c r="I49" s="112">
        <f>G49*H49</f>
        <v>13.446</v>
      </c>
      <c r="J49" s="113">
        <v>0.54</v>
      </c>
      <c r="K49" s="111">
        <v>22.9</v>
      </c>
      <c r="L49" s="112">
        <f t="shared" ref="L49:L53" si="18">J49*K49</f>
        <v>12.366</v>
      </c>
      <c r="M49" s="112">
        <f t="shared" si="16"/>
        <v>0</v>
      </c>
      <c r="N49" s="112">
        <f>L49-I49</f>
        <v>-1.08</v>
      </c>
      <c r="O49" s="122"/>
    </row>
    <row r="50" s="48" customFormat="1" ht="22" customHeight="1" spans="1:15">
      <c r="A50" s="109">
        <v>2</v>
      </c>
      <c r="B50" s="110" t="s">
        <v>71</v>
      </c>
      <c r="C50" s="109" t="s">
        <v>68</v>
      </c>
      <c r="D50" s="111">
        <v>0</v>
      </c>
      <c r="E50" s="111">
        <v>562.3</v>
      </c>
      <c r="F50" s="112">
        <f>D50*E50</f>
        <v>0</v>
      </c>
      <c r="G50" s="113">
        <v>0.51</v>
      </c>
      <c r="H50" s="111">
        <v>562.3</v>
      </c>
      <c r="I50" s="112">
        <f>G50*H50</f>
        <v>286.773</v>
      </c>
      <c r="J50" s="113">
        <v>0.51</v>
      </c>
      <c r="K50" s="111">
        <v>554.08</v>
      </c>
      <c r="L50" s="112">
        <f t="shared" si="18"/>
        <v>282.5808</v>
      </c>
      <c r="M50" s="112">
        <f t="shared" si="16"/>
        <v>0</v>
      </c>
      <c r="N50" s="112">
        <f>L50-I50</f>
        <v>-4.19220000000001</v>
      </c>
      <c r="O50" s="120"/>
    </row>
    <row r="51" s="48" customFormat="1" ht="22" customHeight="1" spans="1:15">
      <c r="A51" s="109">
        <v>3</v>
      </c>
      <c r="B51" s="110" t="s">
        <v>72</v>
      </c>
      <c r="C51" s="109" t="s">
        <v>68</v>
      </c>
      <c r="D51" s="111">
        <v>0</v>
      </c>
      <c r="E51" s="111">
        <v>515.71</v>
      </c>
      <c r="F51" s="112">
        <f>D51*E51</f>
        <v>0</v>
      </c>
      <c r="G51" s="113">
        <v>0.11</v>
      </c>
      <c r="H51" s="111">
        <v>515.71</v>
      </c>
      <c r="I51" s="112">
        <f>G51*H51</f>
        <v>56.7281</v>
      </c>
      <c r="J51" s="113">
        <v>0.11</v>
      </c>
      <c r="K51" s="111">
        <v>488.14</v>
      </c>
      <c r="L51" s="112">
        <f t="shared" si="18"/>
        <v>53.6954</v>
      </c>
      <c r="M51" s="112">
        <f t="shared" si="16"/>
        <v>0</v>
      </c>
      <c r="N51" s="112">
        <f>L51-I51</f>
        <v>-3.0327</v>
      </c>
      <c r="O51" s="120"/>
    </row>
    <row r="52" s="48" customFormat="1" ht="22" customHeight="1" spans="1:15">
      <c r="A52" s="109">
        <v>4</v>
      </c>
      <c r="B52" s="110" t="s">
        <v>77</v>
      </c>
      <c r="C52" s="109" t="s">
        <v>74</v>
      </c>
      <c r="D52" s="111">
        <v>0</v>
      </c>
      <c r="E52" s="111">
        <v>16.32</v>
      </c>
      <c r="F52" s="112">
        <f>D52*E52</f>
        <v>0</v>
      </c>
      <c r="G52" s="113">
        <v>2.17</v>
      </c>
      <c r="H52" s="111">
        <v>16.32</v>
      </c>
      <c r="I52" s="112">
        <f>G52*H52</f>
        <v>35.4144</v>
      </c>
      <c r="J52" s="113">
        <v>2.17</v>
      </c>
      <c r="K52" s="111">
        <v>15.76</v>
      </c>
      <c r="L52" s="112">
        <f t="shared" si="18"/>
        <v>34.1992</v>
      </c>
      <c r="M52" s="112">
        <f t="shared" si="16"/>
        <v>0</v>
      </c>
      <c r="N52" s="112">
        <f>L52-I52</f>
        <v>-1.2152</v>
      </c>
      <c r="O52" s="120"/>
    </row>
    <row r="53" s="48" customFormat="1" ht="22" customHeight="1" spans="1:15">
      <c r="A53" s="109">
        <v>5</v>
      </c>
      <c r="B53" s="110" t="s">
        <v>78</v>
      </c>
      <c r="C53" s="109" t="s">
        <v>74</v>
      </c>
      <c r="D53" s="111">
        <v>0</v>
      </c>
      <c r="E53" s="111">
        <v>95.34</v>
      </c>
      <c r="F53" s="112">
        <f>D53*E53</f>
        <v>0</v>
      </c>
      <c r="G53" s="113">
        <v>1.3</v>
      </c>
      <c r="H53" s="111">
        <v>95.34</v>
      </c>
      <c r="I53" s="112">
        <f>G53*H53</f>
        <v>123.942</v>
      </c>
      <c r="J53" s="113">
        <v>1.3</v>
      </c>
      <c r="K53" s="111">
        <f>H53/1.11*1.0319</f>
        <v>88.6318432432432</v>
      </c>
      <c r="L53" s="112">
        <f t="shared" si="18"/>
        <v>115.221396216216</v>
      </c>
      <c r="M53" s="112">
        <f t="shared" si="16"/>
        <v>0</v>
      </c>
      <c r="N53" s="112">
        <f>L53-I53</f>
        <v>-8.720603783784</v>
      </c>
      <c r="O53" s="120"/>
    </row>
    <row r="54" s="48" customFormat="1" ht="22" customHeight="1" spans="1:15">
      <c r="A54" s="104" t="s">
        <v>22</v>
      </c>
      <c r="B54" s="104"/>
      <c r="C54" s="104" t="s">
        <v>13</v>
      </c>
      <c r="D54" s="105"/>
      <c r="E54" s="105"/>
      <c r="F54" s="106">
        <f>F55+F60+F68+F76+F79+F89</f>
        <v>204912.17</v>
      </c>
      <c r="G54" s="107"/>
      <c r="H54" s="105"/>
      <c r="I54" s="106">
        <f>I55+I60+I68+I76+I79+I89</f>
        <v>244125.93</v>
      </c>
      <c r="J54" s="107"/>
      <c r="K54" s="105"/>
      <c r="L54" s="106">
        <f>L55+L60+L68+L76+L79+L89</f>
        <v>233995.215013514</v>
      </c>
      <c r="M54" s="106"/>
      <c r="N54" s="106">
        <f>N55+N60+N68+N76+N79+N89</f>
        <v>-10130.7149864865</v>
      </c>
      <c r="O54" s="120"/>
    </row>
    <row r="55" s="48" customFormat="1" ht="22" customHeight="1" spans="1:15">
      <c r="A55" s="104" t="s">
        <v>14</v>
      </c>
      <c r="B55" s="108" t="s">
        <v>23</v>
      </c>
      <c r="C55" s="104" t="s">
        <v>13</v>
      </c>
      <c r="D55" s="105"/>
      <c r="E55" s="105"/>
      <c r="F55" s="106">
        <f>SUM(F56:F59)</f>
        <v>50700</v>
      </c>
      <c r="G55" s="107"/>
      <c r="H55" s="105"/>
      <c r="I55" s="106">
        <f>SUM(I56:I59)</f>
        <v>51900</v>
      </c>
      <c r="J55" s="107"/>
      <c r="K55" s="105"/>
      <c r="L55" s="106">
        <f>SUM(L56:L59)</f>
        <v>48248.2972972973</v>
      </c>
      <c r="M55" s="106"/>
      <c r="N55" s="106">
        <f>SUM(N56:N59)</f>
        <v>-3651.70270270272</v>
      </c>
      <c r="O55" s="120"/>
    </row>
    <row r="56" s="48" customFormat="1" ht="22" customHeight="1" spans="1:15">
      <c r="A56" s="109">
        <v>1</v>
      </c>
      <c r="B56" s="110" t="s">
        <v>110</v>
      </c>
      <c r="C56" s="109" t="s">
        <v>111</v>
      </c>
      <c r="D56" s="115">
        <v>250</v>
      </c>
      <c r="E56" s="111">
        <v>20</v>
      </c>
      <c r="F56" s="116">
        <f t="shared" ref="F56:F59" si="19">D56*E56</f>
        <v>5000</v>
      </c>
      <c r="G56" s="117">
        <v>310</v>
      </c>
      <c r="H56" s="111">
        <v>20</v>
      </c>
      <c r="I56" s="116">
        <f t="shared" ref="I56:I59" si="20">G56*H56</f>
        <v>6200</v>
      </c>
      <c r="J56" s="117">
        <v>310</v>
      </c>
      <c r="K56" s="111">
        <f>H56/1.11*1.0319</f>
        <v>18.5927927927928</v>
      </c>
      <c r="L56" s="116">
        <f t="shared" ref="L56:L59" si="21">J56*K56</f>
        <v>5763.76576576576</v>
      </c>
      <c r="M56" s="112">
        <f t="shared" si="16"/>
        <v>0</v>
      </c>
      <c r="N56" s="112">
        <f>L56-I56</f>
        <v>-436.23423423424</v>
      </c>
      <c r="O56" s="120"/>
    </row>
    <row r="57" s="48" customFormat="1" ht="22" customHeight="1" spans="1:15">
      <c r="A57" s="109">
        <v>2</v>
      </c>
      <c r="B57" s="110" t="s">
        <v>112</v>
      </c>
      <c r="C57" s="109" t="s">
        <v>111</v>
      </c>
      <c r="D57" s="115">
        <v>420</v>
      </c>
      <c r="E57" s="111">
        <v>60</v>
      </c>
      <c r="F57" s="116">
        <f t="shared" si="19"/>
        <v>25200</v>
      </c>
      <c r="G57" s="117">
        <v>420</v>
      </c>
      <c r="H57" s="111">
        <v>60</v>
      </c>
      <c r="I57" s="116">
        <f t="shared" si="20"/>
        <v>25200</v>
      </c>
      <c r="J57" s="117">
        <v>420</v>
      </c>
      <c r="K57" s="111">
        <f>H57/1.11*1.0319</f>
        <v>55.7783783783784</v>
      </c>
      <c r="L57" s="116">
        <f t="shared" si="21"/>
        <v>23426.9189189189</v>
      </c>
      <c r="M57" s="112">
        <f t="shared" si="16"/>
        <v>0</v>
      </c>
      <c r="N57" s="112">
        <f>L57-I57</f>
        <v>-1773.0810810811</v>
      </c>
      <c r="O57" s="120"/>
    </row>
    <row r="58" s="48" customFormat="1" ht="22" customHeight="1" spans="1:15">
      <c r="A58" s="109">
        <v>3</v>
      </c>
      <c r="B58" s="110" t="s">
        <v>113</v>
      </c>
      <c r="C58" s="109" t="s">
        <v>85</v>
      </c>
      <c r="D58" s="115">
        <v>1</v>
      </c>
      <c r="E58" s="111">
        <v>20000</v>
      </c>
      <c r="F58" s="116">
        <f t="shared" si="19"/>
        <v>20000</v>
      </c>
      <c r="G58" s="117">
        <v>1</v>
      </c>
      <c r="H58" s="111">
        <v>20000</v>
      </c>
      <c r="I58" s="116">
        <f t="shared" si="20"/>
        <v>20000</v>
      </c>
      <c r="J58" s="117">
        <v>1</v>
      </c>
      <c r="K58" s="111">
        <f>H58/1.11*1.0319</f>
        <v>18592.7927927928</v>
      </c>
      <c r="L58" s="116">
        <f t="shared" si="21"/>
        <v>18592.7927927928</v>
      </c>
      <c r="M58" s="112">
        <f t="shared" si="16"/>
        <v>0</v>
      </c>
      <c r="N58" s="112">
        <f>L58-I58</f>
        <v>-1407.2072072072</v>
      </c>
      <c r="O58" s="120"/>
    </row>
    <row r="59" s="48" customFormat="1" ht="22" customHeight="1" spans="1:15">
      <c r="A59" s="109">
        <v>4</v>
      </c>
      <c r="B59" s="110" t="s">
        <v>114</v>
      </c>
      <c r="C59" s="109" t="s">
        <v>87</v>
      </c>
      <c r="D59" s="115">
        <v>1</v>
      </c>
      <c r="E59" s="111">
        <v>500</v>
      </c>
      <c r="F59" s="116">
        <f t="shared" si="19"/>
        <v>500</v>
      </c>
      <c r="G59" s="117">
        <v>1</v>
      </c>
      <c r="H59" s="111">
        <v>500</v>
      </c>
      <c r="I59" s="116">
        <f t="shared" si="20"/>
        <v>500</v>
      </c>
      <c r="J59" s="117">
        <v>1</v>
      </c>
      <c r="K59" s="111">
        <f t="shared" ref="K57:K59" si="22">H59/1.11*1.0319</f>
        <v>464.81981981982</v>
      </c>
      <c r="L59" s="116">
        <f t="shared" si="21"/>
        <v>464.81981981982</v>
      </c>
      <c r="M59" s="112">
        <f t="shared" si="16"/>
        <v>0</v>
      </c>
      <c r="N59" s="112">
        <f>L59-I59</f>
        <v>-35.18018018018</v>
      </c>
      <c r="O59" s="120"/>
    </row>
    <row r="60" s="48" customFormat="1" ht="22" customHeight="1" spans="1:15">
      <c r="A60" s="104" t="s">
        <v>16</v>
      </c>
      <c r="B60" s="108" t="s">
        <v>24</v>
      </c>
      <c r="C60" s="104" t="s">
        <v>13</v>
      </c>
      <c r="D60" s="105"/>
      <c r="E60" s="105"/>
      <c r="F60" s="106">
        <f>SUM(F61:F67)</f>
        <v>23576</v>
      </c>
      <c r="G60" s="107"/>
      <c r="H60" s="105"/>
      <c r="I60" s="106">
        <f>SUM(I61:I67)</f>
        <v>26781</v>
      </c>
      <c r="J60" s="107"/>
      <c r="K60" s="105"/>
      <c r="L60" s="106">
        <f>SUM(L61:L67)</f>
        <v>24896.6791891892</v>
      </c>
      <c r="M60" s="106"/>
      <c r="N60" s="106">
        <f>SUM(N61:N67)</f>
        <v>-1884.32081081083</v>
      </c>
      <c r="O60" s="120"/>
    </row>
    <row r="61" s="48" customFormat="1" ht="22" customHeight="1" spans="1:15">
      <c r="A61" s="109">
        <v>1</v>
      </c>
      <c r="B61" s="110" t="s">
        <v>115</v>
      </c>
      <c r="C61" s="109" t="s">
        <v>111</v>
      </c>
      <c r="D61" s="115">
        <v>0</v>
      </c>
      <c r="E61" s="115">
        <v>4.55</v>
      </c>
      <c r="F61" s="116">
        <f t="shared" ref="F61:F67" si="23">D61*E61</f>
        <v>0</v>
      </c>
      <c r="G61" s="117">
        <v>0</v>
      </c>
      <c r="H61" s="115">
        <v>4.55</v>
      </c>
      <c r="I61" s="116">
        <f t="shared" ref="I61:I67" si="24">G61*H61</f>
        <v>0</v>
      </c>
      <c r="J61" s="117">
        <v>0</v>
      </c>
      <c r="K61" s="111">
        <f>H61/1.11*1.0319</f>
        <v>4.22986036036036</v>
      </c>
      <c r="L61" s="116">
        <f t="shared" ref="L61:L67" si="25">J61*K61</f>
        <v>0</v>
      </c>
      <c r="M61" s="112">
        <f t="shared" si="16"/>
        <v>0</v>
      </c>
      <c r="N61" s="112">
        <f>L61-I61</f>
        <v>0</v>
      </c>
      <c r="O61" s="120"/>
    </row>
    <row r="62" s="48" customFormat="1" ht="22" customHeight="1" spans="1:15">
      <c r="A62" s="109">
        <v>2</v>
      </c>
      <c r="B62" s="110" t="s">
        <v>116</v>
      </c>
      <c r="C62" s="109" t="s">
        <v>111</v>
      </c>
      <c r="D62" s="115">
        <v>2600</v>
      </c>
      <c r="E62" s="115">
        <v>2.83</v>
      </c>
      <c r="F62" s="116">
        <f t="shared" si="23"/>
        <v>7358</v>
      </c>
      <c r="G62" s="117">
        <v>2800</v>
      </c>
      <c r="H62" s="115">
        <v>2.83</v>
      </c>
      <c r="I62" s="116">
        <f t="shared" si="24"/>
        <v>7924</v>
      </c>
      <c r="J62" s="117">
        <v>2800</v>
      </c>
      <c r="K62" s="111">
        <f t="shared" ref="K62:K67" si="26">H62/1.11*1.0319</f>
        <v>2.63088018018018</v>
      </c>
      <c r="L62" s="116">
        <f t="shared" si="25"/>
        <v>7366.4645045045</v>
      </c>
      <c r="M62" s="112">
        <f t="shared" si="16"/>
        <v>0</v>
      </c>
      <c r="N62" s="112">
        <f t="shared" ref="N62:N67" si="27">L62-I62</f>
        <v>-557.5354954955</v>
      </c>
      <c r="O62" s="120"/>
    </row>
    <row r="63" s="48" customFormat="1" ht="22" customHeight="1" spans="1:15">
      <c r="A63" s="109">
        <v>3</v>
      </c>
      <c r="B63" s="110" t="s">
        <v>117</v>
      </c>
      <c r="C63" s="109" t="s">
        <v>111</v>
      </c>
      <c r="D63" s="115">
        <v>1200</v>
      </c>
      <c r="E63" s="115">
        <v>2.54</v>
      </c>
      <c r="F63" s="116">
        <f t="shared" si="23"/>
        <v>3048</v>
      </c>
      <c r="G63" s="117">
        <v>1900</v>
      </c>
      <c r="H63" s="115">
        <v>2.54</v>
      </c>
      <c r="I63" s="116">
        <f t="shared" si="24"/>
        <v>4826</v>
      </c>
      <c r="J63" s="117">
        <v>1900</v>
      </c>
      <c r="K63" s="111">
        <f t="shared" si="26"/>
        <v>2.36128468468468</v>
      </c>
      <c r="L63" s="116">
        <f t="shared" si="25"/>
        <v>4486.44090090089</v>
      </c>
      <c r="M63" s="112">
        <f t="shared" si="16"/>
        <v>0</v>
      </c>
      <c r="N63" s="112">
        <f t="shared" si="27"/>
        <v>-339.55909909911</v>
      </c>
      <c r="O63" s="120"/>
    </row>
    <row r="64" s="48" customFormat="1" ht="22" customHeight="1" spans="1:15">
      <c r="A64" s="109">
        <v>4</v>
      </c>
      <c r="B64" s="110" t="s">
        <v>118</v>
      </c>
      <c r="C64" s="109" t="s">
        <v>111</v>
      </c>
      <c r="D64" s="115">
        <v>1000</v>
      </c>
      <c r="E64" s="115">
        <v>1.68</v>
      </c>
      <c r="F64" s="116">
        <f t="shared" si="23"/>
        <v>1680</v>
      </c>
      <c r="G64" s="117">
        <v>1400</v>
      </c>
      <c r="H64" s="115">
        <v>1.68</v>
      </c>
      <c r="I64" s="116">
        <f t="shared" si="24"/>
        <v>2352</v>
      </c>
      <c r="J64" s="117">
        <v>1400</v>
      </c>
      <c r="K64" s="111">
        <f t="shared" si="26"/>
        <v>1.56179459459459</v>
      </c>
      <c r="L64" s="116">
        <f t="shared" si="25"/>
        <v>2186.51243243243</v>
      </c>
      <c r="M64" s="112">
        <f t="shared" si="16"/>
        <v>0</v>
      </c>
      <c r="N64" s="112">
        <f t="shared" si="27"/>
        <v>-165.48756756757</v>
      </c>
      <c r="O64" s="120"/>
    </row>
    <row r="65" s="48" customFormat="1" ht="22" customHeight="1" spans="1:15">
      <c r="A65" s="109">
        <v>5</v>
      </c>
      <c r="B65" s="110" t="s">
        <v>119</v>
      </c>
      <c r="C65" s="109" t="s">
        <v>111</v>
      </c>
      <c r="D65" s="115">
        <v>2000</v>
      </c>
      <c r="E65" s="115">
        <v>1.04</v>
      </c>
      <c r="F65" s="116">
        <f t="shared" si="23"/>
        <v>2080</v>
      </c>
      <c r="G65" s="117">
        <v>2600</v>
      </c>
      <c r="H65" s="115">
        <v>1.04</v>
      </c>
      <c r="I65" s="116">
        <f t="shared" si="24"/>
        <v>2704</v>
      </c>
      <c r="J65" s="117">
        <v>2600</v>
      </c>
      <c r="K65" s="111">
        <f t="shared" si="26"/>
        <v>0.966825225225225</v>
      </c>
      <c r="L65" s="116">
        <f t="shared" si="25"/>
        <v>2513.74558558559</v>
      </c>
      <c r="M65" s="112">
        <f t="shared" si="16"/>
        <v>0</v>
      </c>
      <c r="N65" s="112">
        <f t="shared" si="27"/>
        <v>-190.25441441441</v>
      </c>
      <c r="O65" s="120"/>
    </row>
    <row r="66" s="48" customFormat="1" ht="22" customHeight="1" spans="1:15">
      <c r="A66" s="109">
        <v>6</v>
      </c>
      <c r="B66" s="110" t="s">
        <v>120</v>
      </c>
      <c r="C66" s="109" t="s">
        <v>111</v>
      </c>
      <c r="D66" s="115">
        <v>3000</v>
      </c>
      <c r="E66" s="115">
        <v>0.87</v>
      </c>
      <c r="F66" s="116">
        <f t="shared" si="23"/>
        <v>2610</v>
      </c>
      <c r="G66" s="117">
        <v>2500</v>
      </c>
      <c r="H66" s="115">
        <v>0.87</v>
      </c>
      <c r="I66" s="116">
        <f t="shared" si="24"/>
        <v>2175</v>
      </c>
      <c r="J66" s="117">
        <v>2500</v>
      </c>
      <c r="K66" s="111">
        <f t="shared" si="26"/>
        <v>0.808786486486486</v>
      </c>
      <c r="L66" s="116">
        <f t="shared" si="25"/>
        <v>2021.96621621621</v>
      </c>
      <c r="M66" s="112">
        <f t="shared" si="16"/>
        <v>0</v>
      </c>
      <c r="N66" s="112">
        <f t="shared" si="27"/>
        <v>-153.03378378379</v>
      </c>
      <c r="O66" s="120"/>
    </row>
    <row r="67" s="48" customFormat="1" ht="22" customHeight="1" spans="1:15">
      <c r="A67" s="109">
        <v>7</v>
      </c>
      <c r="B67" s="110" t="s">
        <v>121</v>
      </c>
      <c r="C67" s="109" t="s">
        <v>111</v>
      </c>
      <c r="D67" s="115">
        <v>800</v>
      </c>
      <c r="E67" s="115">
        <v>8.5</v>
      </c>
      <c r="F67" s="116">
        <f t="shared" si="23"/>
        <v>6800</v>
      </c>
      <c r="G67" s="117">
        <v>800</v>
      </c>
      <c r="H67" s="111">
        <v>8.5</v>
      </c>
      <c r="I67" s="116">
        <f t="shared" si="24"/>
        <v>6800</v>
      </c>
      <c r="J67" s="117">
        <v>800</v>
      </c>
      <c r="K67" s="111">
        <f t="shared" si="26"/>
        <v>7.90193693693694</v>
      </c>
      <c r="L67" s="116">
        <f t="shared" si="25"/>
        <v>6321.54954954955</v>
      </c>
      <c r="M67" s="112">
        <f t="shared" si="16"/>
        <v>0</v>
      </c>
      <c r="N67" s="112">
        <f t="shared" si="27"/>
        <v>-478.45045045045</v>
      </c>
      <c r="O67" s="120"/>
    </row>
    <row r="68" s="48" customFormat="1" ht="22" customHeight="1" spans="1:15">
      <c r="A68" s="104" t="s">
        <v>18</v>
      </c>
      <c r="B68" s="104" t="s">
        <v>25</v>
      </c>
      <c r="C68" s="104" t="s">
        <v>13</v>
      </c>
      <c r="D68" s="105"/>
      <c r="E68" s="106"/>
      <c r="F68" s="123"/>
      <c r="G68" s="107"/>
      <c r="H68" s="106"/>
      <c r="I68" s="123">
        <f>SUM(I69:I75)</f>
        <v>63896.58</v>
      </c>
      <c r="J68" s="107"/>
      <c r="K68" s="106"/>
      <c r="L68" s="131">
        <f>SUM(L69:L75)</f>
        <v>63896.58</v>
      </c>
      <c r="M68" s="131"/>
      <c r="N68" s="131">
        <f>SUM(N69:N75)</f>
        <v>0</v>
      </c>
      <c r="O68" s="132"/>
    </row>
    <row r="69" s="48" customFormat="1" ht="22" customHeight="1" spans="1:15">
      <c r="A69" s="109">
        <v>1</v>
      </c>
      <c r="B69" s="110" t="s">
        <v>115</v>
      </c>
      <c r="C69" s="109" t="s">
        <v>111</v>
      </c>
      <c r="D69" s="115">
        <v>0</v>
      </c>
      <c r="E69" s="115">
        <v>27.68</v>
      </c>
      <c r="F69" s="116">
        <f t="shared" ref="F69:F74" si="28">D69*E69</f>
        <v>0</v>
      </c>
      <c r="G69" s="115">
        <v>0</v>
      </c>
      <c r="H69" s="115">
        <v>27.68</v>
      </c>
      <c r="I69" s="116">
        <f t="shared" ref="I69:I74" si="29">G69*H69</f>
        <v>0</v>
      </c>
      <c r="J69" s="115">
        <v>0</v>
      </c>
      <c r="K69" s="111">
        <f t="shared" ref="K69:K74" si="30">H69</f>
        <v>27.68</v>
      </c>
      <c r="L69" s="116">
        <f t="shared" ref="L69:L74" si="31">J69*K69</f>
        <v>0</v>
      </c>
      <c r="M69" s="112">
        <f t="shared" si="16"/>
        <v>0</v>
      </c>
      <c r="N69" s="112">
        <f>L69-I69</f>
        <v>0</v>
      </c>
      <c r="O69" s="132"/>
    </row>
    <row r="70" s="48" customFormat="1" ht="22" customHeight="1" spans="1:15">
      <c r="A70" s="109">
        <v>2</v>
      </c>
      <c r="B70" s="110" t="s">
        <v>116</v>
      </c>
      <c r="C70" s="109" t="s">
        <v>111</v>
      </c>
      <c r="D70" s="115">
        <v>0</v>
      </c>
      <c r="E70" s="115">
        <v>17.35</v>
      </c>
      <c r="F70" s="116">
        <f t="shared" si="28"/>
        <v>0</v>
      </c>
      <c r="G70" s="115">
        <v>2000</v>
      </c>
      <c r="H70" s="111">
        <v>15.7</v>
      </c>
      <c r="I70" s="116">
        <f t="shared" si="29"/>
        <v>31400</v>
      </c>
      <c r="J70" s="115">
        <v>2000</v>
      </c>
      <c r="K70" s="111">
        <f t="shared" si="30"/>
        <v>15.7</v>
      </c>
      <c r="L70" s="116">
        <f t="shared" si="31"/>
        <v>31400</v>
      </c>
      <c r="M70" s="112">
        <f t="shared" si="16"/>
        <v>0</v>
      </c>
      <c r="N70" s="112">
        <f t="shared" ref="N70:N75" si="32">L70-I70</f>
        <v>0</v>
      </c>
      <c r="O70" s="132"/>
    </row>
    <row r="71" s="48" customFormat="1" ht="22" customHeight="1" spans="1:15">
      <c r="A71" s="109">
        <v>3</v>
      </c>
      <c r="B71" s="110" t="s">
        <v>117</v>
      </c>
      <c r="C71" s="109" t="s">
        <v>111</v>
      </c>
      <c r="D71" s="115">
        <v>0</v>
      </c>
      <c r="E71" s="115">
        <v>10.56</v>
      </c>
      <c r="F71" s="116">
        <f t="shared" si="28"/>
        <v>0</v>
      </c>
      <c r="G71" s="115">
        <v>1200</v>
      </c>
      <c r="H71" s="111">
        <v>10.16</v>
      </c>
      <c r="I71" s="116">
        <f t="shared" si="29"/>
        <v>12192</v>
      </c>
      <c r="J71" s="115">
        <v>1200</v>
      </c>
      <c r="K71" s="111">
        <f t="shared" si="30"/>
        <v>10.16</v>
      </c>
      <c r="L71" s="116">
        <f t="shared" si="31"/>
        <v>12192</v>
      </c>
      <c r="M71" s="112">
        <f t="shared" si="16"/>
        <v>0</v>
      </c>
      <c r="N71" s="112">
        <f t="shared" si="32"/>
        <v>0</v>
      </c>
      <c r="O71" s="132"/>
    </row>
    <row r="72" s="48" customFormat="1" ht="22" customHeight="1" spans="1:15">
      <c r="A72" s="109">
        <v>4</v>
      </c>
      <c r="B72" s="110" t="s">
        <v>118</v>
      </c>
      <c r="C72" s="109" t="s">
        <v>111</v>
      </c>
      <c r="D72" s="115">
        <v>0</v>
      </c>
      <c r="E72" s="115">
        <v>6.96</v>
      </c>
      <c r="F72" s="116">
        <f t="shared" si="28"/>
        <v>0</v>
      </c>
      <c r="G72" s="115">
        <v>800</v>
      </c>
      <c r="H72" s="111">
        <v>6.7</v>
      </c>
      <c r="I72" s="116">
        <f t="shared" si="29"/>
        <v>5360</v>
      </c>
      <c r="J72" s="115">
        <v>800</v>
      </c>
      <c r="K72" s="111">
        <f t="shared" si="30"/>
        <v>6.7</v>
      </c>
      <c r="L72" s="116">
        <f t="shared" si="31"/>
        <v>5360</v>
      </c>
      <c r="M72" s="112">
        <f t="shared" ref="M72:M95" si="33">J72-G72</f>
        <v>0</v>
      </c>
      <c r="N72" s="112">
        <f t="shared" si="32"/>
        <v>0</v>
      </c>
      <c r="O72" s="132"/>
    </row>
    <row r="73" s="48" customFormat="1" ht="22" customHeight="1" spans="1:15">
      <c r="A73" s="109">
        <v>5</v>
      </c>
      <c r="B73" s="110" t="s">
        <v>119</v>
      </c>
      <c r="C73" s="109" t="s">
        <v>111</v>
      </c>
      <c r="D73" s="115">
        <v>0</v>
      </c>
      <c r="E73" s="115">
        <v>4.55</v>
      </c>
      <c r="F73" s="116">
        <f t="shared" si="28"/>
        <v>0</v>
      </c>
      <c r="G73" s="115">
        <v>1600</v>
      </c>
      <c r="H73" s="111">
        <v>4.17</v>
      </c>
      <c r="I73" s="116">
        <f t="shared" si="29"/>
        <v>6672</v>
      </c>
      <c r="J73" s="115">
        <v>1600</v>
      </c>
      <c r="K73" s="111">
        <f t="shared" si="30"/>
        <v>4.17</v>
      </c>
      <c r="L73" s="116">
        <f t="shared" si="31"/>
        <v>6672</v>
      </c>
      <c r="M73" s="112">
        <f t="shared" si="33"/>
        <v>0</v>
      </c>
      <c r="N73" s="112">
        <f t="shared" si="32"/>
        <v>0</v>
      </c>
      <c r="O73" s="132"/>
    </row>
    <row r="74" s="48" customFormat="1" ht="22" customHeight="1" spans="1:15">
      <c r="A74" s="109">
        <v>6</v>
      </c>
      <c r="B74" s="110" t="s">
        <v>120</v>
      </c>
      <c r="C74" s="109" t="s">
        <v>111</v>
      </c>
      <c r="D74" s="115">
        <v>0</v>
      </c>
      <c r="E74" s="115">
        <v>3.52</v>
      </c>
      <c r="F74" s="116">
        <f t="shared" si="28"/>
        <v>0</v>
      </c>
      <c r="G74" s="115">
        <v>2100</v>
      </c>
      <c r="H74" s="111">
        <v>3.47</v>
      </c>
      <c r="I74" s="116">
        <f t="shared" si="29"/>
        <v>7287</v>
      </c>
      <c r="J74" s="115">
        <v>2100</v>
      </c>
      <c r="K74" s="111">
        <f t="shared" si="30"/>
        <v>3.47</v>
      </c>
      <c r="L74" s="116">
        <f t="shared" si="31"/>
        <v>7287</v>
      </c>
      <c r="M74" s="112">
        <f t="shared" si="33"/>
        <v>0</v>
      </c>
      <c r="N74" s="112">
        <f t="shared" si="32"/>
        <v>0</v>
      </c>
      <c r="O74" s="132"/>
    </row>
    <row r="75" s="48" customFormat="1" ht="22" customHeight="1" spans="1:15">
      <c r="A75" s="109">
        <v>8</v>
      </c>
      <c r="B75" s="110" t="s">
        <v>122</v>
      </c>
      <c r="C75" s="109" t="s">
        <v>123</v>
      </c>
      <c r="D75" s="124"/>
      <c r="E75" s="115"/>
      <c r="F75" s="116"/>
      <c r="G75" s="124"/>
      <c r="H75" s="115"/>
      <c r="I75" s="116">
        <v>985.58</v>
      </c>
      <c r="J75" s="124"/>
      <c r="K75" s="115"/>
      <c r="L75" s="116">
        <v>985.58</v>
      </c>
      <c r="M75" s="112">
        <f t="shared" si="33"/>
        <v>0</v>
      </c>
      <c r="N75" s="112">
        <f t="shared" si="32"/>
        <v>0</v>
      </c>
      <c r="O75" s="132"/>
    </row>
    <row r="76" s="48" customFormat="1" ht="22" customHeight="1" spans="1:15">
      <c r="A76" s="104" t="s">
        <v>20</v>
      </c>
      <c r="B76" s="104" t="s">
        <v>26</v>
      </c>
      <c r="C76" s="104" t="s">
        <v>13</v>
      </c>
      <c r="D76" s="124"/>
      <c r="E76" s="115"/>
      <c r="F76" s="106">
        <f>F77+F78</f>
        <v>36000</v>
      </c>
      <c r="G76" s="124"/>
      <c r="H76" s="115"/>
      <c r="I76" s="106">
        <f>I77+I78</f>
        <v>39060</v>
      </c>
      <c r="J76" s="124"/>
      <c r="K76" s="115"/>
      <c r="L76" s="106">
        <f>L77+L78</f>
        <v>37148.4</v>
      </c>
      <c r="M76" s="106"/>
      <c r="N76" s="106">
        <f>N77+N78</f>
        <v>-1911.6</v>
      </c>
      <c r="O76" s="132"/>
    </row>
    <row r="77" s="48" customFormat="1" ht="22" customHeight="1" spans="1:15">
      <c r="A77" s="109">
        <v>1</v>
      </c>
      <c r="B77" s="110" t="s">
        <v>121</v>
      </c>
      <c r="C77" s="109" t="s">
        <v>111</v>
      </c>
      <c r="D77" s="115">
        <v>800</v>
      </c>
      <c r="E77" s="115">
        <v>45</v>
      </c>
      <c r="F77" s="116">
        <f>D77*E77</f>
        <v>36000</v>
      </c>
      <c r="G77" s="115">
        <v>800</v>
      </c>
      <c r="H77" s="115">
        <v>45</v>
      </c>
      <c r="I77" s="116">
        <f>G77*H77</f>
        <v>36000</v>
      </c>
      <c r="J77" s="115">
        <v>800</v>
      </c>
      <c r="K77" s="111">
        <f>H77*1.0319</f>
        <v>46.4355</v>
      </c>
      <c r="L77" s="116">
        <f>J77*K77</f>
        <v>37148.4</v>
      </c>
      <c r="M77" s="112">
        <f t="shared" si="33"/>
        <v>0</v>
      </c>
      <c r="N77" s="112">
        <f>L77-I77</f>
        <v>1148.4</v>
      </c>
      <c r="O77" s="132"/>
    </row>
    <row r="78" s="48" customFormat="1" ht="22" customHeight="1" spans="1:15">
      <c r="A78" s="109">
        <v>2</v>
      </c>
      <c r="B78" s="110" t="s">
        <v>124</v>
      </c>
      <c r="C78" s="109" t="s">
        <v>123</v>
      </c>
      <c r="D78" s="115"/>
      <c r="E78" s="115"/>
      <c r="F78" s="116"/>
      <c r="G78" s="115"/>
      <c r="H78" s="115">
        <v>0.085</v>
      </c>
      <c r="I78" s="116">
        <f>I77*H78</f>
        <v>3060</v>
      </c>
      <c r="J78" s="115"/>
      <c r="K78" s="111"/>
      <c r="L78" s="116">
        <f>L77*K78</f>
        <v>0</v>
      </c>
      <c r="M78" s="112">
        <f t="shared" si="33"/>
        <v>0</v>
      </c>
      <c r="N78" s="112">
        <f>L78-I78</f>
        <v>-3060</v>
      </c>
      <c r="O78" s="132"/>
    </row>
    <row r="79" s="48" customFormat="1" ht="22" customHeight="1" spans="1:15">
      <c r="A79" s="104" t="s">
        <v>27</v>
      </c>
      <c r="B79" s="104" t="s">
        <v>28</v>
      </c>
      <c r="C79" s="104" t="s">
        <v>13</v>
      </c>
      <c r="D79" s="124"/>
      <c r="E79" s="115"/>
      <c r="F79" s="116"/>
      <c r="G79" s="124"/>
      <c r="H79" s="115"/>
      <c r="I79" s="106">
        <f>SUM(I80:I88)</f>
        <v>32494</v>
      </c>
      <c r="J79" s="124"/>
      <c r="K79" s="111"/>
      <c r="L79" s="106">
        <f>SUM(L80:L88)</f>
        <v>29810.908527027</v>
      </c>
      <c r="M79" s="106"/>
      <c r="N79" s="106">
        <f>SUM(N80:N88)</f>
        <v>-2683.09147297297</v>
      </c>
      <c r="O79" s="132"/>
    </row>
    <row r="80" s="48" customFormat="1" ht="22" customHeight="1" spans="1:15">
      <c r="A80" s="109">
        <v>1</v>
      </c>
      <c r="B80" s="110" t="s">
        <v>125</v>
      </c>
      <c r="C80" s="109" t="s">
        <v>111</v>
      </c>
      <c r="D80" s="124"/>
      <c r="E80" s="115"/>
      <c r="F80" s="116"/>
      <c r="G80" s="125">
        <v>123</v>
      </c>
      <c r="H80" s="111">
        <v>48</v>
      </c>
      <c r="I80" s="116">
        <f>G80*H80</f>
        <v>5904</v>
      </c>
      <c r="J80" s="125">
        <v>123</v>
      </c>
      <c r="K80" s="111">
        <f>45*1.0319</f>
        <v>46.4355</v>
      </c>
      <c r="L80" s="116">
        <f>J80*K80</f>
        <v>5711.5665</v>
      </c>
      <c r="M80" s="112">
        <f t="shared" si="33"/>
        <v>0</v>
      </c>
      <c r="N80" s="112">
        <f>L80-I80</f>
        <v>-192.4335</v>
      </c>
      <c r="O80" s="132"/>
    </row>
    <row r="81" s="48" customFormat="1" ht="22" customHeight="1" spans="1:15">
      <c r="A81" s="109">
        <v>2</v>
      </c>
      <c r="B81" s="110" t="s">
        <v>126</v>
      </c>
      <c r="C81" s="109" t="s">
        <v>91</v>
      </c>
      <c r="D81" s="124"/>
      <c r="E81" s="115"/>
      <c r="F81" s="116"/>
      <c r="G81" s="125">
        <v>10</v>
      </c>
      <c r="H81" s="111">
        <v>35</v>
      </c>
      <c r="I81" s="116">
        <f t="shared" ref="I81:I88" si="34">G81*H81</f>
        <v>350</v>
      </c>
      <c r="J81" s="125">
        <v>10</v>
      </c>
      <c r="K81" s="111">
        <f>H81/1.11*1.0319</f>
        <v>32.5373873873874</v>
      </c>
      <c r="L81" s="116">
        <f t="shared" ref="L81:L88" si="35">J81*K81</f>
        <v>325.373873873874</v>
      </c>
      <c r="M81" s="112">
        <f t="shared" si="33"/>
        <v>0</v>
      </c>
      <c r="N81" s="112">
        <f t="shared" ref="N81:N88" si="36">L81-I81</f>
        <v>-24.626126126126</v>
      </c>
      <c r="O81" s="132"/>
    </row>
    <row r="82" s="48" customFormat="1" ht="22" customHeight="1" spans="1:15">
      <c r="A82" s="109">
        <v>3</v>
      </c>
      <c r="B82" s="110" t="s">
        <v>127</v>
      </c>
      <c r="C82" s="109" t="s">
        <v>128</v>
      </c>
      <c r="D82" s="124"/>
      <c r="E82" s="115"/>
      <c r="F82" s="116"/>
      <c r="G82" s="125">
        <v>2</v>
      </c>
      <c r="H82" s="111">
        <v>570</v>
      </c>
      <c r="I82" s="116">
        <f t="shared" si="34"/>
        <v>1140</v>
      </c>
      <c r="J82" s="125">
        <v>2</v>
      </c>
      <c r="K82" s="111">
        <f t="shared" ref="K82:K87" si="37">H82/1.11*1.0319</f>
        <v>529.894594594595</v>
      </c>
      <c r="L82" s="116">
        <f t="shared" si="35"/>
        <v>1059.78918918919</v>
      </c>
      <c r="M82" s="112">
        <f t="shared" si="33"/>
        <v>0</v>
      </c>
      <c r="N82" s="112">
        <f t="shared" si="36"/>
        <v>-80.21081081081</v>
      </c>
      <c r="O82" s="132"/>
    </row>
    <row r="83" s="48" customFormat="1" ht="22" customHeight="1" spans="1:15">
      <c r="A83" s="109">
        <v>4</v>
      </c>
      <c r="B83" s="110" t="s">
        <v>129</v>
      </c>
      <c r="C83" s="109" t="s">
        <v>130</v>
      </c>
      <c r="D83" s="124"/>
      <c r="E83" s="115"/>
      <c r="F83" s="116"/>
      <c r="G83" s="125">
        <v>4</v>
      </c>
      <c r="H83" s="111">
        <v>40</v>
      </c>
      <c r="I83" s="116">
        <f t="shared" si="34"/>
        <v>160</v>
      </c>
      <c r="J83" s="125">
        <v>4</v>
      </c>
      <c r="K83" s="111">
        <f t="shared" si="37"/>
        <v>37.1855855855856</v>
      </c>
      <c r="L83" s="116">
        <f t="shared" si="35"/>
        <v>148.742342342342</v>
      </c>
      <c r="M83" s="112">
        <f t="shared" si="33"/>
        <v>0</v>
      </c>
      <c r="N83" s="112">
        <f t="shared" si="36"/>
        <v>-11.257657657658</v>
      </c>
      <c r="O83" s="132"/>
    </row>
    <row r="84" s="48" customFormat="1" ht="22" customHeight="1" spans="1:15">
      <c r="A84" s="109">
        <v>5</v>
      </c>
      <c r="B84" s="110" t="s">
        <v>131</v>
      </c>
      <c r="C84" s="109" t="s">
        <v>130</v>
      </c>
      <c r="D84" s="124"/>
      <c r="E84" s="115"/>
      <c r="F84" s="116"/>
      <c r="G84" s="125">
        <v>4</v>
      </c>
      <c r="H84" s="111">
        <v>15</v>
      </c>
      <c r="I84" s="116">
        <f t="shared" si="34"/>
        <v>60</v>
      </c>
      <c r="J84" s="125">
        <v>4</v>
      </c>
      <c r="K84" s="111">
        <f t="shared" si="37"/>
        <v>13.9445945945946</v>
      </c>
      <c r="L84" s="116">
        <f t="shared" si="35"/>
        <v>55.7783783783784</v>
      </c>
      <c r="M84" s="112">
        <f t="shared" si="33"/>
        <v>0</v>
      </c>
      <c r="N84" s="112">
        <f t="shared" si="36"/>
        <v>-4.2216216216216</v>
      </c>
      <c r="O84" s="132"/>
    </row>
    <row r="85" s="48" customFormat="1" ht="22" customHeight="1" spans="1:15">
      <c r="A85" s="109">
        <v>6</v>
      </c>
      <c r="B85" s="110" t="s">
        <v>132</v>
      </c>
      <c r="C85" s="109" t="s">
        <v>13</v>
      </c>
      <c r="D85" s="124"/>
      <c r="E85" s="115"/>
      <c r="F85" s="116"/>
      <c r="G85" s="125">
        <v>1</v>
      </c>
      <c r="H85" s="111">
        <v>580</v>
      </c>
      <c r="I85" s="116">
        <f t="shared" si="34"/>
        <v>580</v>
      </c>
      <c r="J85" s="125"/>
      <c r="K85" s="111">
        <f t="shared" si="37"/>
        <v>539.190990990991</v>
      </c>
      <c r="L85" s="116">
        <f t="shared" si="35"/>
        <v>0</v>
      </c>
      <c r="M85" s="112">
        <f t="shared" si="33"/>
        <v>-1</v>
      </c>
      <c r="N85" s="112">
        <f t="shared" si="36"/>
        <v>-580</v>
      </c>
      <c r="O85" s="132"/>
    </row>
    <row r="86" s="48" customFormat="1" ht="22" customHeight="1" spans="1:15">
      <c r="A86" s="109">
        <v>7</v>
      </c>
      <c r="B86" s="110" t="s">
        <v>133</v>
      </c>
      <c r="C86" s="109" t="s">
        <v>134</v>
      </c>
      <c r="D86" s="124"/>
      <c r="E86" s="115"/>
      <c r="F86" s="116"/>
      <c r="G86" s="125">
        <v>16</v>
      </c>
      <c r="H86" s="111">
        <v>2.7</v>
      </c>
      <c r="I86" s="116">
        <f t="shared" si="34"/>
        <v>43.2</v>
      </c>
      <c r="J86" s="125"/>
      <c r="K86" s="111">
        <f t="shared" si="37"/>
        <v>2.51002702702703</v>
      </c>
      <c r="L86" s="116">
        <f t="shared" si="35"/>
        <v>0</v>
      </c>
      <c r="M86" s="112">
        <f t="shared" si="33"/>
        <v>-16</v>
      </c>
      <c r="N86" s="112">
        <f t="shared" si="36"/>
        <v>-43.2</v>
      </c>
      <c r="O86" s="132"/>
    </row>
    <row r="87" s="48" customFormat="1" ht="22" customHeight="1" spans="1:15">
      <c r="A87" s="109">
        <v>8</v>
      </c>
      <c r="B87" s="110" t="s">
        <v>135</v>
      </c>
      <c r="C87" s="109" t="s">
        <v>111</v>
      </c>
      <c r="D87" s="124"/>
      <c r="E87" s="115"/>
      <c r="F87" s="116"/>
      <c r="G87" s="125">
        <v>123</v>
      </c>
      <c r="H87" s="111">
        <v>30</v>
      </c>
      <c r="I87" s="116">
        <f t="shared" si="34"/>
        <v>3690</v>
      </c>
      <c r="J87" s="125">
        <v>123</v>
      </c>
      <c r="K87" s="111">
        <f>8.5/1.11*1.0319</f>
        <v>7.90193693693694</v>
      </c>
      <c r="L87" s="116">
        <f t="shared" si="35"/>
        <v>971.938243243243</v>
      </c>
      <c r="M87" s="112">
        <f t="shared" si="33"/>
        <v>0</v>
      </c>
      <c r="N87" s="112">
        <f t="shared" si="36"/>
        <v>-2718.06175675676</v>
      </c>
      <c r="O87" s="132"/>
    </row>
    <row r="88" s="48" customFormat="1" ht="22" customHeight="1" spans="1:15">
      <c r="A88" s="109" t="s">
        <v>136</v>
      </c>
      <c r="B88" s="110" t="s">
        <v>137</v>
      </c>
      <c r="C88" s="109" t="s">
        <v>68</v>
      </c>
      <c r="D88" s="124"/>
      <c r="E88" s="115"/>
      <c r="F88" s="116"/>
      <c r="G88" s="125">
        <f>8700*0.4*0.3</f>
        <v>1044</v>
      </c>
      <c r="H88" s="111">
        <v>19.7</v>
      </c>
      <c r="I88" s="116">
        <f t="shared" si="34"/>
        <v>20566.8</v>
      </c>
      <c r="J88" s="125">
        <f>G88</f>
        <v>1044</v>
      </c>
      <c r="K88" s="111">
        <v>20.63</v>
      </c>
      <c r="L88" s="116">
        <f t="shared" si="35"/>
        <v>21537.72</v>
      </c>
      <c r="M88" s="112">
        <f t="shared" si="33"/>
        <v>0</v>
      </c>
      <c r="N88" s="112">
        <f t="shared" si="36"/>
        <v>970.920000000002</v>
      </c>
      <c r="O88" s="132"/>
    </row>
    <row r="89" s="48" customFormat="1" ht="22" customHeight="1" spans="1:15">
      <c r="A89" s="104" t="s">
        <v>29</v>
      </c>
      <c r="B89" s="104" t="s">
        <v>30</v>
      </c>
      <c r="C89" s="104" t="s">
        <v>13</v>
      </c>
      <c r="D89" s="124"/>
      <c r="E89" s="116">
        <f>SUM(F90:F94)</f>
        <v>84402</v>
      </c>
      <c r="F89" s="126">
        <f>SUM(F90:F95)</f>
        <v>94636.17</v>
      </c>
      <c r="G89" s="124"/>
      <c r="H89" s="116"/>
      <c r="I89" s="126">
        <f>SUM(I90:I95)</f>
        <v>29994.35</v>
      </c>
      <c r="J89" s="124"/>
      <c r="K89" s="116"/>
      <c r="L89" s="133">
        <f>SUM(L90:L95)</f>
        <v>29994.35</v>
      </c>
      <c r="M89" s="133"/>
      <c r="N89" s="133">
        <f>SUM(N90:N95)</f>
        <v>0</v>
      </c>
      <c r="O89" s="132"/>
    </row>
    <row r="90" s="48" customFormat="1" ht="22" customHeight="1" spans="1:15">
      <c r="A90" s="109">
        <v>1</v>
      </c>
      <c r="B90" s="110" t="s">
        <v>116</v>
      </c>
      <c r="C90" s="109" t="s">
        <v>111</v>
      </c>
      <c r="D90" s="111">
        <v>2600</v>
      </c>
      <c r="E90" s="115">
        <v>17.35</v>
      </c>
      <c r="F90" s="116">
        <f>E90*D90</f>
        <v>45110</v>
      </c>
      <c r="G90" s="111">
        <v>800</v>
      </c>
      <c r="H90" s="111">
        <v>15.7</v>
      </c>
      <c r="I90" s="116">
        <f>H90*G90</f>
        <v>12560</v>
      </c>
      <c r="J90" s="111">
        <v>800</v>
      </c>
      <c r="K90" s="111">
        <v>15.7</v>
      </c>
      <c r="L90" s="116">
        <f t="shared" ref="L90:L94" si="38">K90*J90</f>
        <v>12560</v>
      </c>
      <c r="M90" s="112">
        <f t="shared" si="33"/>
        <v>0</v>
      </c>
      <c r="N90" s="112">
        <f>L90-I90</f>
        <v>0</v>
      </c>
      <c r="O90" s="132"/>
    </row>
    <row r="91" s="48" customFormat="1" ht="22" customHeight="1" spans="1:15">
      <c r="A91" s="109">
        <v>2</v>
      </c>
      <c r="B91" s="110" t="s">
        <v>117</v>
      </c>
      <c r="C91" s="109" t="s">
        <v>111</v>
      </c>
      <c r="D91" s="111">
        <v>1200</v>
      </c>
      <c r="E91" s="115">
        <v>10.56</v>
      </c>
      <c r="F91" s="116">
        <f t="shared" ref="F91:F94" si="39">E91*D91</f>
        <v>12672</v>
      </c>
      <c r="G91" s="111">
        <v>700</v>
      </c>
      <c r="H91" s="111">
        <v>10.16</v>
      </c>
      <c r="I91" s="116">
        <f t="shared" ref="I91:I94" si="40">H91*G91</f>
        <v>7112</v>
      </c>
      <c r="J91" s="111">
        <v>700</v>
      </c>
      <c r="K91" s="111">
        <v>10.16</v>
      </c>
      <c r="L91" s="116">
        <f t="shared" si="38"/>
        <v>7112</v>
      </c>
      <c r="M91" s="112">
        <f t="shared" si="33"/>
        <v>0</v>
      </c>
      <c r="N91" s="112">
        <f>L91-I91</f>
        <v>0</v>
      </c>
      <c r="O91" s="132"/>
    </row>
    <row r="92" s="48" customFormat="1" ht="22" customHeight="1" spans="1:15">
      <c r="A92" s="109">
        <v>3</v>
      </c>
      <c r="B92" s="110" t="s">
        <v>118</v>
      </c>
      <c r="C92" s="109" t="s">
        <v>111</v>
      </c>
      <c r="D92" s="111">
        <v>1000</v>
      </c>
      <c r="E92" s="115">
        <v>6.96</v>
      </c>
      <c r="F92" s="116">
        <f t="shared" si="39"/>
        <v>6960</v>
      </c>
      <c r="G92" s="111">
        <v>600</v>
      </c>
      <c r="H92" s="111">
        <v>6.7</v>
      </c>
      <c r="I92" s="116">
        <f t="shared" si="40"/>
        <v>4020</v>
      </c>
      <c r="J92" s="111">
        <v>600</v>
      </c>
      <c r="K92" s="111">
        <v>6.7</v>
      </c>
      <c r="L92" s="116">
        <f t="shared" si="38"/>
        <v>4020</v>
      </c>
      <c r="M92" s="112">
        <f t="shared" si="33"/>
        <v>0</v>
      </c>
      <c r="N92" s="112">
        <f>L92-I92</f>
        <v>0</v>
      </c>
      <c r="O92" s="132"/>
    </row>
    <row r="93" s="48" customFormat="1" ht="22" customHeight="1" spans="1:15">
      <c r="A93" s="109">
        <v>4</v>
      </c>
      <c r="B93" s="110" t="s">
        <v>119</v>
      </c>
      <c r="C93" s="109" t="s">
        <v>111</v>
      </c>
      <c r="D93" s="111">
        <v>2000</v>
      </c>
      <c r="E93" s="115">
        <v>4.55</v>
      </c>
      <c r="F93" s="116">
        <f t="shared" si="39"/>
        <v>9100</v>
      </c>
      <c r="G93" s="111">
        <v>1000</v>
      </c>
      <c r="H93" s="111">
        <v>4.17</v>
      </c>
      <c r="I93" s="116">
        <f t="shared" si="40"/>
        <v>4170</v>
      </c>
      <c r="J93" s="111">
        <v>1000</v>
      </c>
      <c r="K93" s="111">
        <v>4.17</v>
      </c>
      <c r="L93" s="116">
        <f t="shared" si="38"/>
        <v>4170</v>
      </c>
      <c r="M93" s="112">
        <f t="shared" si="33"/>
        <v>0</v>
      </c>
      <c r="N93" s="112">
        <f>L93-I93</f>
        <v>0</v>
      </c>
      <c r="O93" s="132"/>
    </row>
    <row r="94" s="48" customFormat="1" ht="22" customHeight="1" spans="1:15">
      <c r="A94" s="109">
        <v>5</v>
      </c>
      <c r="B94" s="110" t="s">
        <v>120</v>
      </c>
      <c r="C94" s="109" t="s">
        <v>111</v>
      </c>
      <c r="D94" s="111">
        <v>3000</v>
      </c>
      <c r="E94" s="115">
        <v>3.52</v>
      </c>
      <c r="F94" s="116">
        <f t="shared" si="39"/>
        <v>10560</v>
      </c>
      <c r="G94" s="111">
        <v>400</v>
      </c>
      <c r="H94" s="111">
        <v>3.47</v>
      </c>
      <c r="I94" s="116">
        <f t="shared" si="40"/>
        <v>1388</v>
      </c>
      <c r="J94" s="111">
        <v>400</v>
      </c>
      <c r="K94" s="111">
        <v>3.47</v>
      </c>
      <c r="L94" s="116">
        <f t="shared" si="38"/>
        <v>1388</v>
      </c>
      <c r="M94" s="112">
        <f t="shared" si="33"/>
        <v>0</v>
      </c>
      <c r="N94" s="112">
        <f>L94-I94</f>
        <v>0</v>
      </c>
      <c r="O94" s="132"/>
    </row>
    <row r="95" s="48" customFormat="1" ht="22" customHeight="1" spans="1:15">
      <c r="A95" s="109">
        <v>7</v>
      </c>
      <c r="B95" s="110" t="s">
        <v>138</v>
      </c>
      <c r="C95" s="109" t="s">
        <v>123</v>
      </c>
      <c r="D95" s="111"/>
      <c r="E95" s="127"/>
      <c r="F95" s="116">
        <v>10234.17</v>
      </c>
      <c r="G95" s="111"/>
      <c r="H95" s="128"/>
      <c r="I95" s="116">
        <v>744.35</v>
      </c>
      <c r="J95" s="111"/>
      <c r="K95" s="128"/>
      <c r="L95" s="116">
        <v>744.35</v>
      </c>
      <c r="M95" s="112">
        <f t="shared" si="33"/>
        <v>0</v>
      </c>
      <c r="N95" s="112">
        <f>L95-I95</f>
        <v>0</v>
      </c>
      <c r="O95" s="132"/>
    </row>
    <row r="96" s="48" customFormat="1" ht="22" customHeight="1" spans="1:15">
      <c r="A96" s="129" t="s">
        <v>139</v>
      </c>
      <c r="B96" s="130"/>
      <c r="C96" s="104" t="s">
        <v>13</v>
      </c>
      <c r="D96" s="111">
        <v>293557.6</v>
      </c>
      <c r="E96" s="115">
        <v>0.05</v>
      </c>
      <c r="F96" s="106">
        <f>E96*D96</f>
        <v>14677.88</v>
      </c>
      <c r="G96" s="125"/>
      <c r="H96" s="115"/>
      <c r="I96" s="106">
        <f>F96</f>
        <v>14677.88</v>
      </c>
      <c r="J96" s="125"/>
      <c r="K96" s="115"/>
      <c r="L96" s="106">
        <v>7200</v>
      </c>
      <c r="M96" s="134"/>
      <c r="N96" s="121">
        <f>L96-I96</f>
        <v>-7477.88</v>
      </c>
      <c r="O96" s="132"/>
    </row>
    <row r="97" s="48" customFormat="1" ht="22" customHeight="1" spans="1:15">
      <c r="A97" s="129" t="s">
        <v>140</v>
      </c>
      <c r="B97" s="130"/>
      <c r="C97" s="104"/>
      <c r="D97" s="111"/>
      <c r="E97" s="115"/>
      <c r="F97" s="106">
        <f>F5+F54+F96</f>
        <v>308235.48</v>
      </c>
      <c r="G97" s="106"/>
      <c r="H97" s="106"/>
      <c r="I97" s="106">
        <f>I5+I54+I96</f>
        <v>417912.4523</v>
      </c>
      <c r="J97" s="106"/>
      <c r="K97" s="106"/>
      <c r="L97" s="106">
        <f>L5+L54+L96</f>
        <v>359104.145281209</v>
      </c>
      <c r="M97" s="106"/>
      <c r="N97" s="106">
        <f>N5+N54+N96</f>
        <v>-58808.3070187907</v>
      </c>
      <c r="O97" s="132"/>
    </row>
    <row r="98" s="48" customFormat="1" ht="22" customHeight="1" spans="1:15">
      <c r="A98" s="129" t="s">
        <v>141</v>
      </c>
      <c r="B98" s="130"/>
      <c r="C98" s="104"/>
      <c r="D98" s="111"/>
      <c r="E98" s="115"/>
      <c r="F98" s="106">
        <f>F89</f>
        <v>94636.17</v>
      </c>
      <c r="G98" s="106"/>
      <c r="H98" s="106"/>
      <c r="I98" s="106">
        <f>I89</f>
        <v>29994.35</v>
      </c>
      <c r="J98" s="106"/>
      <c r="K98" s="106"/>
      <c r="L98" s="106">
        <f>L89</f>
        <v>29994.35</v>
      </c>
      <c r="M98" s="134"/>
      <c r="N98" s="121">
        <f t="shared" ref="N96:N101" si="41">L98-I98</f>
        <v>0</v>
      </c>
      <c r="O98" s="132"/>
    </row>
    <row r="99" s="48" customFormat="1" ht="22" customHeight="1" spans="1:15">
      <c r="A99" s="129" t="s">
        <v>142</v>
      </c>
      <c r="B99" s="130"/>
      <c r="C99" s="104"/>
      <c r="D99" s="111"/>
      <c r="E99" s="115"/>
      <c r="F99" s="106">
        <f>F96</f>
        <v>14677.88</v>
      </c>
      <c r="G99" s="106"/>
      <c r="H99" s="106"/>
      <c r="I99" s="106">
        <f>I96</f>
        <v>14677.88</v>
      </c>
      <c r="J99" s="106"/>
      <c r="K99" s="106"/>
      <c r="L99" s="106">
        <f>L96</f>
        <v>7200</v>
      </c>
      <c r="M99" s="134"/>
      <c r="N99" s="121">
        <f t="shared" si="41"/>
        <v>-7477.88</v>
      </c>
      <c r="O99" s="132"/>
    </row>
    <row r="100" s="48" customFormat="1" ht="22" customHeight="1" spans="1:15">
      <c r="A100" s="129" t="s">
        <v>143</v>
      </c>
      <c r="B100" s="130"/>
      <c r="C100" s="104"/>
      <c r="D100" s="111"/>
      <c r="E100" s="115"/>
      <c r="F100" s="106">
        <f>F97-305000</f>
        <v>3235.47999999998</v>
      </c>
      <c r="G100" s="125"/>
      <c r="H100" s="115"/>
      <c r="I100" s="106"/>
      <c r="J100" s="125"/>
      <c r="K100" s="115"/>
      <c r="L100" s="106">
        <f>(L97-L98-L99)*1.63%</f>
        <v>5247.12966308372</v>
      </c>
      <c r="M100" s="134"/>
      <c r="N100" s="121">
        <f t="shared" si="41"/>
        <v>5247.12966308372</v>
      </c>
      <c r="O100" s="132"/>
    </row>
    <row r="101" s="48" customFormat="1" ht="22" customHeight="1" spans="1:15">
      <c r="A101" s="129" t="s">
        <v>144</v>
      </c>
      <c r="B101" s="130"/>
      <c r="C101" s="104"/>
      <c r="D101" s="111"/>
      <c r="E101" s="115"/>
      <c r="F101" s="106">
        <f>ROUND(F97-F98-F99-F100,0)</f>
        <v>195686</v>
      </c>
      <c r="G101" s="125"/>
      <c r="H101" s="115"/>
      <c r="I101" s="106">
        <f>ROUND(I97-I98-I99-I100,0)</f>
        <v>373240</v>
      </c>
      <c r="J101" s="125"/>
      <c r="K101" s="115"/>
      <c r="L101" s="106">
        <f>ROUND(L97-L98-L99-L100,0)</f>
        <v>316663</v>
      </c>
      <c r="M101" s="134"/>
      <c r="N101" s="121">
        <f t="shared" si="41"/>
        <v>-56577</v>
      </c>
      <c r="O101" s="132"/>
    </row>
  </sheetData>
  <mergeCells count="18">
    <mergeCell ref="A1:O1"/>
    <mergeCell ref="A2:O2"/>
    <mergeCell ref="D3:F3"/>
    <mergeCell ref="G3:I3"/>
    <mergeCell ref="J3:L3"/>
    <mergeCell ref="M3:N3"/>
    <mergeCell ref="A5:B5"/>
    <mergeCell ref="A54:B54"/>
    <mergeCell ref="A96:B96"/>
    <mergeCell ref="A97:B97"/>
    <mergeCell ref="A98:B98"/>
    <mergeCell ref="A99:B99"/>
    <mergeCell ref="A100:B100"/>
    <mergeCell ref="A101:B101"/>
    <mergeCell ref="A3:A4"/>
    <mergeCell ref="B3:B4"/>
    <mergeCell ref="C3:C4"/>
    <mergeCell ref="O3:O4"/>
  </mergeCells>
  <pageMargins left="0.393055555555556" right="0.393055555555556" top="0.786805555555556" bottom="0.786805555555556" header="0.393055555555556" footer="0.393055555555556"/>
  <pageSetup paperSize="9" scale="95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8"/>
  <sheetViews>
    <sheetView zoomScale="90" zoomScaleNormal="90" workbookViewId="0">
      <pane ySplit="6" topLeftCell="A10" activePane="bottomLeft" state="frozen"/>
      <selection/>
      <selection pane="bottomLeft" activeCell="A98" sqref="A98:L98"/>
    </sheetView>
  </sheetViews>
  <sheetFormatPr defaultColWidth="11" defaultRowHeight="18" customHeight="1"/>
  <cols>
    <col min="1" max="1" width="3.66666666666667" style="49" customWidth="1"/>
    <col min="2" max="2" width="30.1083333333333" style="50" customWidth="1"/>
    <col min="3" max="3" width="5.88333333333333" style="51" customWidth="1"/>
    <col min="4" max="4" width="12.1083333333333" style="52" customWidth="1"/>
    <col min="5" max="6" width="12.1083333333333" style="51" customWidth="1"/>
    <col min="7" max="7" width="12.1083333333333" style="52" customWidth="1"/>
    <col min="8" max="11" width="12.1083333333333" style="51" customWidth="1"/>
    <col min="12" max="12" width="9.66666666666667" style="53" customWidth="1"/>
    <col min="13" max="13" width="12.3333333333333" style="54" customWidth="1"/>
    <col min="14" max="16384" width="11" style="54"/>
  </cols>
  <sheetData>
    <row r="1" customHeight="1" spans="1:1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="45" customFormat="1" ht="29.1" customHeight="1" spans="1:12">
      <c r="A2" s="56" t="s">
        <v>145</v>
      </c>
      <c r="B2" s="57"/>
      <c r="C2" s="57"/>
      <c r="D2" s="57"/>
      <c r="E2" s="57"/>
      <c r="F2" s="57"/>
      <c r="G2" s="58"/>
      <c r="H2" s="57"/>
      <c r="I2" s="57"/>
      <c r="J2" s="57"/>
      <c r="K2" s="57"/>
      <c r="L2" s="57"/>
    </row>
    <row r="3" s="46" customFormat="1" ht="22.05" customHeight="1" spans="1:12">
      <c r="A3" s="59" t="s">
        <v>146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="46" customFormat="1" ht="22.05" customHeight="1" spans="1:12">
      <c r="A4" s="59" t="s">
        <v>147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="46" customFormat="1" ht="27" customHeight="1" spans="1:12">
      <c r="A5" s="60" t="s">
        <v>4</v>
      </c>
      <c r="B5" s="61" t="s">
        <v>5</v>
      </c>
      <c r="C5" s="61" t="s">
        <v>6</v>
      </c>
      <c r="D5" s="61" t="s">
        <v>148</v>
      </c>
      <c r="E5" s="61"/>
      <c r="F5" s="61"/>
      <c r="G5" s="62" t="s">
        <v>149</v>
      </c>
      <c r="H5" s="61"/>
      <c r="I5" s="61"/>
      <c r="J5" s="62" t="s">
        <v>65</v>
      </c>
      <c r="K5" s="62" t="s">
        <v>150</v>
      </c>
      <c r="L5" s="63" t="s">
        <v>61</v>
      </c>
    </row>
    <row r="6" s="46" customFormat="1" customHeight="1" spans="1:12">
      <c r="A6" s="60"/>
      <c r="B6" s="61"/>
      <c r="C6" s="61"/>
      <c r="D6" s="63" t="s">
        <v>62</v>
      </c>
      <c r="E6" s="61" t="s">
        <v>63</v>
      </c>
      <c r="F6" s="61" t="s">
        <v>64</v>
      </c>
      <c r="G6" s="64" t="s">
        <v>62</v>
      </c>
      <c r="H6" s="61" t="s">
        <v>63</v>
      </c>
      <c r="I6" s="61" t="s">
        <v>64</v>
      </c>
      <c r="J6" s="62" t="s">
        <v>151</v>
      </c>
      <c r="K6" s="62" t="s">
        <v>152</v>
      </c>
      <c r="L6" s="63"/>
    </row>
    <row r="7" s="47" customFormat="1" customHeight="1" spans="1:12">
      <c r="A7" s="60" t="s">
        <v>153</v>
      </c>
      <c r="B7" s="61" t="s">
        <v>154</v>
      </c>
      <c r="C7" s="61" t="s">
        <v>155</v>
      </c>
      <c r="D7" s="63" t="s">
        <v>156</v>
      </c>
      <c r="E7" s="61" t="s">
        <v>157</v>
      </c>
      <c r="F7" s="65" t="s">
        <v>158</v>
      </c>
      <c r="G7" s="64" t="s">
        <v>159</v>
      </c>
      <c r="H7" s="61" t="s">
        <v>160</v>
      </c>
      <c r="I7" s="65" t="s">
        <v>161</v>
      </c>
      <c r="J7" s="65" t="s">
        <v>162</v>
      </c>
      <c r="K7" s="65" t="s">
        <v>163</v>
      </c>
      <c r="L7" s="78" t="s">
        <v>164</v>
      </c>
    </row>
    <row r="8" s="47" customFormat="1" ht="27" customHeight="1" spans="1:13">
      <c r="A8" s="60" t="s">
        <v>165</v>
      </c>
      <c r="B8" s="61" t="s">
        <v>166</v>
      </c>
      <c r="C8" s="61"/>
      <c r="D8" s="63"/>
      <c r="E8" s="61"/>
      <c r="F8" s="65">
        <f>F9+F55+F97</f>
        <v>308233.6026</v>
      </c>
      <c r="G8" s="64"/>
      <c r="H8" s="61"/>
      <c r="I8" s="65">
        <f>I9+I55+I97</f>
        <v>397345.6523</v>
      </c>
      <c r="J8" s="65"/>
      <c r="K8" s="65">
        <f>I8-F8</f>
        <v>89112.0497</v>
      </c>
      <c r="L8" s="79"/>
      <c r="M8" s="80"/>
    </row>
    <row r="9" s="48" customFormat="1" ht="27" customHeight="1" spans="1:13">
      <c r="A9" s="66" t="s">
        <v>12</v>
      </c>
      <c r="B9" s="66"/>
      <c r="C9" s="66" t="s">
        <v>13</v>
      </c>
      <c r="D9" s="66"/>
      <c r="E9" s="66"/>
      <c r="F9" s="67">
        <f>F10+F28+F36+F48</f>
        <v>88643.5526</v>
      </c>
      <c r="G9" s="68"/>
      <c r="H9" s="66"/>
      <c r="I9" s="67">
        <f>I10+I28+I36+I48</f>
        <v>159108.6423</v>
      </c>
      <c r="J9" s="65"/>
      <c r="K9" s="65">
        <f>I9-F9</f>
        <v>70465.0897</v>
      </c>
      <c r="L9" s="81"/>
      <c r="M9" s="82"/>
    </row>
    <row r="10" s="48" customFormat="1" customHeight="1" spans="1:13">
      <c r="A10" s="66" t="s">
        <v>14</v>
      </c>
      <c r="B10" s="66" t="s">
        <v>15</v>
      </c>
      <c r="C10" s="66" t="s">
        <v>13</v>
      </c>
      <c r="D10" s="66"/>
      <c r="E10" s="66"/>
      <c r="F10" s="67">
        <f>SUM(F11:F27)</f>
        <v>88643.5526</v>
      </c>
      <c r="G10" s="68"/>
      <c r="H10" s="66"/>
      <c r="I10" s="67">
        <f>SUM(I11:I27)</f>
        <v>125499.5463</v>
      </c>
      <c r="J10" s="65"/>
      <c r="K10" s="65">
        <f>I10-F10</f>
        <v>36855.9937</v>
      </c>
      <c r="L10" s="81"/>
      <c r="M10" s="83"/>
    </row>
    <row r="11" s="48" customFormat="1" customHeight="1" spans="1:12">
      <c r="A11" s="69">
        <v>1</v>
      </c>
      <c r="B11" s="69" t="s">
        <v>67</v>
      </c>
      <c r="C11" s="69" t="s">
        <v>167</v>
      </c>
      <c r="D11" s="70">
        <v>49.19</v>
      </c>
      <c r="E11" s="70">
        <v>19.7</v>
      </c>
      <c r="F11" s="71">
        <f>D11*E11</f>
        <v>969.043</v>
      </c>
      <c r="G11" s="72">
        <v>127.76</v>
      </c>
      <c r="H11" s="70">
        <v>19.7</v>
      </c>
      <c r="I11" s="71">
        <f>G11*H11</f>
        <v>2516.872</v>
      </c>
      <c r="J11" s="71">
        <f>G11-D11</f>
        <v>78.57</v>
      </c>
      <c r="K11" s="71">
        <f>I11-F11</f>
        <v>1547.829</v>
      </c>
      <c r="L11" s="81"/>
    </row>
    <row r="12" s="48" customFormat="1" customHeight="1" spans="1:12">
      <c r="A12" s="69">
        <v>2</v>
      </c>
      <c r="B12" s="69" t="s">
        <v>69</v>
      </c>
      <c r="C12" s="69" t="s">
        <v>167</v>
      </c>
      <c r="D12" s="70">
        <v>73.79</v>
      </c>
      <c r="E12" s="70">
        <v>57.04</v>
      </c>
      <c r="F12" s="71">
        <f t="shared" ref="F12:F27" si="0">D12*E12</f>
        <v>4208.9816</v>
      </c>
      <c r="G12" s="72">
        <v>127.69</v>
      </c>
      <c r="H12" s="70">
        <v>57.04</v>
      </c>
      <c r="I12" s="71">
        <f t="shared" ref="I12:I27" si="1">G12*H12</f>
        <v>7283.4376</v>
      </c>
      <c r="J12" s="71">
        <f t="shared" ref="J12:J35" si="2">G12-D12</f>
        <v>53.9</v>
      </c>
      <c r="K12" s="71">
        <f>I12-F12</f>
        <v>3074.456</v>
      </c>
      <c r="L12" s="81"/>
    </row>
    <row r="13" s="48" customFormat="1" customHeight="1" spans="1:12">
      <c r="A13" s="69">
        <v>3</v>
      </c>
      <c r="B13" s="69" t="s">
        <v>70</v>
      </c>
      <c r="C13" s="69" t="s">
        <v>167</v>
      </c>
      <c r="D13" s="70">
        <v>30.68</v>
      </c>
      <c r="E13" s="70">
        <v>24.9</v>
      </c>
      <c r="F13" s="71">
        <f t="shared" si="0"/>
        <v>763.932</v>
      </c>
      <c r="G13" s="72">
        <v>151.37</v>
      </c>
      <c r="H13" s="70">
        <v>24.9</v>
      </c>
      <c r="I13" s="71">
        <f t="shared" si="1"/>
        <v>3769.113</v>
      </c>
      <c r="J13" s="71">
        <f t="shared" si="2"/>
        <v>120.69</v>
      </c>
      <c r="K13" s="71">
        <f t="shared" ref="K13:K76" si="3">I13-F13</f>
        <v>3005.181</v>
      </c>
      <c r="L13" s="84"/>
    </row>
    <row r="14" s="48" customFormat="1" customHeight="1" spans="1:12">
      <c r="A14" s="69">
        <v>4</v>
      </c>
      <c r="B14" s="69" t="s">
        <v>71</v>
      </c>
      <c r="C14" s="69" t="s">
        <v>167</v>
      </c>
      <c r="D14" s="70">
        <v>19.47</v>
      </c>
      <c r="E14" s="70">
        <v>562.3</v>
      </c>
      <c r="F14" s="71">
        <f t="shared" si="0"/>
        <v>10947.981</v>
      </c>
      <c r="G14" s="72">
        <f>21.69+3.92</f>
        <v>25.61</v>
      </c>
      <c r="H14" s="70">
        <v>562.3</v>
      </c>
      <c r="I14" s="71">
        <f t="shared" si="1"/>
        <v>14400.503</v>
      </c>
      <c r="J14" s="71">
        <f t="shared" si="2"/>
        <v>6.14</v>
      </c>
      <c r="K14" s="71">
        <f t="shared" si="3"/>
        <v>3452.522</v>
      </c>
      <c r="L14" s="81"/>
    </row>
    <row r="15" s="48" customFormat="1" customHeight="1" spans="1:12">
      <c r="A15" s="69">
        <v>5</v>
      </c>
      <c r="B15" s="69" t="s">
        <v>72</v>
      </c>
      <c r="C15" s="69" t="s">
        <v>167</v>
      </c>
      <c r="D15" s="70">
        <v>29.18</v>
      </c>
      <c r="E15" s="70">
        <v>515.71</v>
      </c>
      <c r="F15" s="71">
        <f t="shared" si="0"/>
        <v>15048.4178</v>
      </c>
      <c r="G15" s="72">
        <v>30.22</v>
      </c>
      <c r="H15" s="70">
        <v>515.71</v>
      </c>
      <c r="I15" s="71">
        <f t="shared" si="1"/>
        <v>15584.7562</v>
      </c>
      <c r="J15" s="71">
        <f t="shared" si="2"/>
        <v>1.04</v>
      </c>
      <c r="K15" s="71">
        <f t="shared" si="3"/>
        <v>536.338399999999</v>
      </c>
      <c r="L15" s="81"/>
    </row>
    <row r="16" s="48" customFormat="1" customHeight="1" spans="1:12">
      <c r="A16" s="69">
        <v>6</v>
      </c>
      <c r="B16" s="69" t="s">
        <v>73</v>
      </c>
      <c r="C16" s="69" t="s">
        <v>168</v>
      </c>
      <c r="D16" s="70">
        <v>32.96</v>
      </c>
      <c r="E16" s="70">
        <v>58.41</v>
      </c>
      <c r="F16" s="71">
        <f t="shared" si="0"/>
        <v>1925.1936</v>
      </c>
      <c r="G16" s="72">
        <v>57.69</v>
      </c>
      <c r="H16" s="70">
        <v>58.41</v>
      </c>
      <c r="I16" s="71">
        <f t="shared" si="1"/>
        <v>3369.6729</v>
      </c>
      <c r="J16" s="71">
        <f t="shared" si="2"/>
        <v>24.73</v>
      </c>
      <c r="K16" s="71">
        <f t="shared" si="3"/>
        <v>1444.4793</v>
      </c>
      <c r="L16" s="81"/>
    </row>
    <row r="17" s="48" customFormat="1" customHeight="1" spans="1:12">
      <c r="A17" s="69">
        <v>7</v>
      </c>
      <c r="B17" s="69" t="s">
        <v>75</v>
      </c>
      <c r="C17" s="69" t="s">
        <v>76</v>
      </c>
      <c r="D17" s="70">
        <v>481.3</v>
      </c>
      <c r="E17" s="70">
        <v>5.66</v>
      </c>
      <c r="F17" s="71">
        <f t="shared" si="0"/>
        <v>2724.158</v>
      </c>
      <c r="G17" s="72">
        <v>2313.01</v>
      </c>
      <c r="H17" s="70">
        <v>5.66</v>
      </c>
      <c r="I17" s="71">
        <f t="shared" si="1"/>
        <v>13091.6366</v>
      </c>
      <c r="J17" s="71">
        <f t="shared" si="2"/>
        <v>1831.71</v>
      </c>
      <c r="K17" s="71">
        <f t="shared" si="3"/>
        <v>10367.4786</v>
      </c>
      <c r="L17" s="81"/>
    </row>
    <row r="18" s="48" customFormat="1" customHeight="1" spans="1:12">
      <c r="A18" s="69">
        <v>8</v>
      </c>
      <c r="B18" s="69" t="s">
        <v>77</v>
      </c>
      <c r="C18" s="69" t="s">
        <v>168</v>
      </c>
      <c r="D18" s="70">
        <v>198.43</v>
      </c>
      <c r="E18" s="70">
        <v>16.32</v>
      </c>
      <c r="F18" s="71">
        <f t="shared" si="0"/>
        <v>3238.3776</v>
      </c>
      <c r="G18" s="72">
        <v>254.91</v>
      </c>
      <c r="H18" s="70">
        <v>16.32</v>
      </c>
      <c r="I18" s="71">
        <f t="shared" si="1"/>
        <v>4160.1312</v>
      </c>
      <c r="J18" s="71">
        <f t="shared" si="2"/>
        <v>56.48</v>
      </c>
      <c r="K18" s="71">
        <f t="shared" si="3"/>
        <v>921.7536</v>
      </c>
      <c r="L18" s="81"/>
    </row>
    <row r="19" s="48" customFormat="1" customHeight="1" spans="1:12">
      <c r="A19" s="69">
        <v>9</v>
      </c>
      <c r="B19" s="69" t="s">
        <v>78</v>
      </c>
      <c r="C19" s="69" t="s">
        <v>168</v>
      </c>
      <c r="D19" s="70">
        <v>10.2</v>
      </c>
      <c r="E19" s="70">
        <v>95.34</v>
      </c>
      <c r="F19" s="71">
        <f t="shared" si="0"/>
        <v>972.468</v>
      </c>
      <c r="G19" s="72">
        <v>12.57</v>
      </c>
      <c r="H19" s="70">
        <v>95.34</v>
      </c>
      <c r="I19" s="71">
        <f t="shared" si="1"/>
        <v>1198.4238</v>
      </c>
      <c r="J19" s="71">
        <f t="shared" si="2"/>
        <v>2.37</v>
      </c>
      <c r="K19" s="71">
        <f t="shared" si="3"/>
        <v>225.9558</v>
      </c>
      <c r="L19" s="81"/>
    </row>
    <row r="20" s="48" customFormat="1" customHeight="1" spans="1:12">
      <c r="A20" s="69">
        <v>10</v>
      </c>
      <c r="B20" s="69" t="s">
        <v>79</v>
      </c>
      <c r="C20" s="69" t="s">
        <v>80</v>
      </c>
      <c r="D20" s="70">
        <v>65.29</v>
      </c>
      <c r="E20" s="70">
        <v>500</v>
      </c>
      <c r="F20" s="71">
        <f t="shared" si="0"/>
        <v>32645</v>
      </c>
      <c r="G20" s="72">
        <v>89.85</v>
      </c>
      <c r="H20" s="70">
        <v>500</v>
      </c>
      <c r="I20" s="71">
        <f t="shared" si="1"/>
        <v>44925</v>
      </c>
      <c r="J20" s="71">
        <f t="shared" si="2"/>
        <v>24.56</v>
      </c>
      <c r="K20" s="71">
        <f t="shared" si="3"/>
        <v>12280</v>
      </c>
      <c r="L20" s="81"/>
    </row>
    <row r="21" s="48" customFormat="1" customHeight="1" spans="1:12">
      <c r="A21" s="69">
        <v>11</v>
      </c>
      <c r="B21" s="69" t="s">
        <v>81</v>
      </c>
      <c r="C21" s="69" t="s">
        <v>167</v>
      </c>
      <c r="D21" s="70">
        <v>0</v>
      </c>
      <c r="E21" s="70">
        <v>300</v>
      </c>
      <c r="F21" s="71">
        <f t="shared" si="0"/>
        <v>0</v>
      </c>
      <c r="G21" s="72">
        <v>0</v>
      </c>
      <c r="H21" s="70">
        <v>300</v>
      </c>
      <c r="I21" s="71">
        <f t="shared" si="1"/>
        <v>0</v>
      </c>
      <c r="J21" s="71">
        <f t="shared" si="2"/>
        <v>0</v>
      </c>
      <c r="K21" s="71">
        <f t="shared" si="3"/>
        <v>0</v>
      </c>
      <c r="L21" s="81"/>
    </row>
    <row r="22" s="48" customFormat="1" customHeight="1" spans="1:12">
      <c r="A22" s="69">
        <v>12</v>
      </c>
      <c r="B22" s="69" t="s">
        <v>82</v>
      </c>
      <c r="C22" s="69" t="s">
        <v>83</v>
      </c>
      <c r="D22" s="70">
        <v>1</v>
      </c>
      <c r="E22" s="70">
        <v>1500</v>
      </c>
      <c r="F22" s="71">
        <f t="shared" si="0"/>
        <v>1500</v>
      </c>
      <c r="G22" s="72">
        <v>1</v>
      </c>
      <c r="H22" s="70">
        <v>1500</v>
      </c>
      <c r="I22" s="71">
        <f t="shared" si="1"/>
        <v>1500</v>
      </c>
      <c r="J22" s="71">
        <f t="shared" si="2"/>
        <v>0</v>
      </c>
      <c r="K22" s="71">
        <f t="shared" si="3"/>
        <v>0</v>
      </c>
      <c r="L22" s="81"/>
    </row>
    <row r="23" s="48" customFormat="1" customHeight="1" spans="1:12">
      <c r="A23" s="69">
        <v>13</v>
      </c>
      <c r="B23" s="69" t="s">
        <v>84</v>
      </c>
      <c r="C23" s="69" t="s">
        <v>85</v>
      </c>
      <c r="D23" s="70">
        <v>1</v>
      </c>
      <c r="E23" s="70">
        <v>8000</v>
      </c>
      <c r="F23" s="71">
        <f t="shared" si="0"/>
        <v>8000</v>
      </c>
      <c r="G23" s="72">
        <v>1</v>
      </c>
      <c r="H23" s="70">
        <v>8000</v>
      </c>
      <c r="I23" s="71">
        <f t="shared" si="1"/>
        <v>8000</v>
      </c>
      <c r="J23" s="71">
        <f t="shared" si="2"/>
        <v>0</v>
      </c>
      <c r="K23" s="71">
        <f t="shared" si="3"/>
        <v>0</v>
      </c>
      <c r="L23" s="81"/>
    </row>
    <row r="24" s="48" customFormat="1" customHeight="1" spans="1:12">
      <c r="A24" s="69">
        <v>14</v>
      </c>
      <c r="B24" s="69" t="s">
        <v>86</v>
      </c>
      <c r="C24" s="69" t="s">
        <v>87</v>
      </c>
      <c r="D24" s="70">
        <v>1</v>
      </c>
      <c r="E24" s="70">
        <v>200</v>
      </c>
      <c r="F24" s="71">
        <f t="shared" si="0"/>
        <v>200</v>
      </c>
      <c r="G24" s="72">
        <v>1</v>
      </c>
      <c r="H24" s="70">
        <v>200</v>
      </c>
      <c r="I24" s="71">
        <f t="shared" si="1"/>
        <v>200</v>
      </c>
      <c r="J24" s="71">
        <f t="shared" si="2"/>
        <v>0</v>
      </c>
      <c r="K24" s="71">
        <f t="shared" si="3"/>
        <v>0</v>
      </c>
      <c r="L24" s="81"/>
    </row>
    <row r="25" s="48" customFormat="1" customHeight="1" spans="1:12">
      <c r="A25" s="69">
        <v>15</v>
      </c>
      <c r="B25" s="69" t="s">
        <v>88</v>
      </c>
      <c r="C25" s="69" t="s">
        <v>89</v>
      </c>
      <c r="D25" s="70">
        <v>1</v>
      </c>
      <c r="E25" s="70">
        <v>3500</v>
      </c>
      <c r="F25" s="71">
        <f t="shared" si="0"/>
        <v>3500</v>
      </c>
      <c r="G25" s="72">
        <v>1</v>
      </c>
      <c r="H25" s="70">
        <v>3500</v>
      </c>
      <c r="I25" s="71">
        <f t="shared" si="1"/>
        <v>3500</v>
      </c>
      <c r="J25" s="71">
        <f t="shared" si="2"/>
        <v>0</v>
      </c>
      <c r="K25" s="71">
        <f t="shared" si="3"/>
        <v>0</v>
      </c>
      <c r="L25" s="81"/>
    </row>
    <row r="26" s="48" customFormat="1" ht="48.75" customHeight="1" spans="1:12">
      <c r="A26" s="73" t="s">
        <v>33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="48" customFormat="1" customHeight="1" spans="1:12">
      <c r="A27" s="69">
        <v>16</v>
      </c>
      <c r="B27" s="69" t="s">
        <v>90</v>
      </c>
      <c r="C27" s="69" t="s">
        <v>91</v>
      </c>
      <c r="D27" s="70">
        <v>10</v>
      </c>
      <c r="E27" s="70">
        <v>200</v>
      </c>
      <c r="F27" s="71">
        <f t="shared" si="0"/>
        <v>2000</v>
      </c>
      <c r="G27" s="72">
        <v>10</v>
      </c>
      <c r="H27" s="70">
        <v>200</v>
      </c>
      <c r="I27" s="71">
        <f t="shared" si="1"/>
        <v>2000</v>
      </c>
      <c r="J27" s="71">
        <f t="shared" si="2"/>
        <v>0</v>
      </c>
      <c r="K27" s="71">
        <f t="shared" si="3"/>
        <v>0</v>
      </c>
      <c r="L27" s="81"/>
    </row>
    <row r="28" s="48" customFormat="1" customHeight="1" spans="1:13">
      <c r="A28" s="66" t="s">
        <v>16</v>
      </c>
      <c r="B28" s="66" t="s">
        <v>17</v>
      </c>
      <c r="C28" s="66" t="s">
        <v>13</v>
      </c>
      <c r="D28" s="66"/>
      <c r="E28" s="66"/>
      <c r="F28" s="67">
        <f>SUM(F29:F35)</f>
        <v>0</v>
      </c>
      <c r="G28" s="68"/>
      <c r="H28" s="66"/>
      <c r="I28" s="67">
        <f>SUM(I29:I35)</f>
        <v>7072.6198</v>
      </c>
      <c r="J28" s="65"/>
      <c r="K28" s="65">
        <f t="shared" si="3"/>
        <v>7072.6198</v>
      </c>
      <c r="L28" s="81"/>
      <c r="M28" s="83"/>
    </row>
    <row r="29" s="48" customFormat="1" customHeight="1" spans="1:12">
      <c r="A29" s="69">
        <v>1</v>
      </c>
      <c r="B29" s="69" t="s">
        <v>69</v>
      </c>
      <c r="C29" s="69" t="s">
        <v>167</v>
      </c>
      <c r="D29" s="70">
        <v>0</v>
      </c>
      <c r="E29" s="70">
        <v>57.04</v>
      </c>
      <c r="F29" s="71">
        <f t="shared" ref="F29:F35" si="4">D29*E29</f>
        <v>0</v>
      </c>
      <c r="G29" s="72">
        <v>6.61</v>
      </c>
      <c r="H29" s="70">
        <v>57.04</v>
      </c>
      <c r="I29" s="71">
        <f t="shared" ref="I29:I35" si="5">G29*H29</f>
        <v>377.0344</v>
      </c>
      <c r="J29" s="71">
        <f t="shared" si="2"/>
        <v>6.61</v>
      </c>
      <c r="K29" s="71">
        <f t="shared" si="3"/>
        <v>377.0344</v>
      </c>
      <c r="L29" s="81"/>
    </row>
    <row r="30" s="48" customFormat="1" customHeight="1" spans="1:12">
      <c r="A30" s="69">
        <v>2</v>
      </c>
      <c r="B30" s="69" t="s">
        <v>71</v>
      </c>
      <c r="C30" s="69" t="s">
        <v>167</v>
      </c>
      <c r="D30" s="70">
        <v>0</v>
      </c>
      <c r="E30" s="70">
        <v>562.3</v>
      </c>
      <c r="F30" s="71">
        <f t="shared" si="4"/>
        <v>0</v>
      </c>
      <c r="G30" s="72">
        <v>3.52</v>
      </c>
      <c r="H30" s="70">
        <v>562.3</v>
      </c>
      <c r="I30" s="71">
        <f t="shared" si="5"/>
        <v>1979.296</v>
      </c>
      <c r="J30" s="71">
        <f t="shared" si="2"/>
        <v>3.52</v>
      </c>
      <c r="K30" s="71">
        <f t="shared" si="3"/>
        <v>1979.296</v>
      </c>
      <c r="L30" s="81"/>
    </row>
    <row r="31" s="48" customFormat="1" customHeight="1" spans="1:12">
      <c r="A31" s="69">
        <v>3</v>
      </c>
      <c r="B31" s="69" t="s">
        <v>72</v>
      </c>
      <c r="C31" s="69" t="s">
        <v>167</v>
      </c>
      <c r="D31" s="70">
        <v>0</v>
      </c>
      <c r="E31" s="70">
        <v>515.71</v>
      </c>
      <c r="F31" s="71">
        <f t="shared" si="4"/>
        <v>0</v>
      </c>
      <c r="G31" s="72">
        <v>2.35</v>
      </c>
      <c r="H31" s="70">
        <v>515.71</v>
      </c>
      <c r="I31" s="71">
        <f t="shared" si="5"/>
        <v>1211.9185</v>
      </c>
      <c r="J31" s="71">
        <f t="shared" si="2"/>
        <v>2.35</v>
      </c>
      <c r="K31" s="71">
        <f t="shared" si="3"/>
        <v>1211.9185</v>
      </c>
      <c r="L31" s="81"/>
    </row>
    <row r="32" s="48" customFormat="1" customHeight="1" spans="1:12">
      <c r="A32" s="69">
        <v>4</v>
      </c>
      <c r="B32" s="69" t="s">
        <v>75</v>
      </c>
      <c r="C32" s="69" t="s">
        <v>76</v>
      </c>
      <c r="D32" s="70">
        <v>0</v>
      </c>
      <c r="E32" s="70">
        <v>5.66</v>
      </c>
      <c r="F32" s="71">
        <f t="shared" si="4"/>
        <v>0</v>
      </c>
      <c r="G32" s="72">
        <v>270.65</v>
      </c>
      <c r="H32" s="70">
        <v>5.66</v>
      </c>
      <c r="I32" s="71">
        <f t="shared" si="5"/>
        <v>1531.879</v>
      </c>
      <c r="J32" s="71">
        <f t="shared" si="2"/>
        <v>270.65</v>
      </c>
      <c r="K32" s="71">
        <f t="shared" si="3"/>
        <v>1531.879</v>
      </c>
      <c r="L32" s="81"/>
    </row>
    <row r="33" s="48" customFormat="1" customHeight="1" spans="1:12">
      <c r="A33" s="69">
        <v>5</v>
      </c>
      <c r="B33" s="69" t="s">
        <v>73</v>
      </c>
      <c r="C33" s="69" t="s">
        <v>168</v>
      </c>
      <c r="D33" s="70">
        <v>0</v>
      </c>
      <c r="E33" s="70">
        <v>58.41</v>
      </c>
      <c r="F33" s="71">
        <f t="shared" si="4"/>
        <v>0</v>
      </c>
      <c r="G33" s="72">
        <v>16.71</v>
      </c>
      <c r="H33" s="70">
        <v>58.41</v>
      </c>
      <c r="I33" s="71">
        <f t="shared" si="5"/>
        <v>976.0311</v>
      </c>
      <c r="J33" s="71">
        <f t="shared" si="2"/>
        <v>16.71</v>
      </c>
      <c r="K33" s="71">
        <f t="shared" si="3"/>
        <v>976.0311</v>
      </c>
      <c r="L33" s="81"/>
    </row>
    <row r="34" s="48" customFormat="1" customHeight="1" spans="1:12">
      <c r="A34" s="69">
        <v>6</v>
      </c>
      <c r="B34" s="69" t="s">
        <v>77</v>
      </c>
      <c r="C34" s="69" t="s">
        <v>168</v>
      </c>
      <c r="D34" s="70">
        <v>0</v>
      </c>
      <c r="E34" s="70">
        <v>16.32</v>
      </c>
      <c r="F34" s="71">
        <f t="shared" si="4"/>
        <v>0</v>
      </c>
      <c r="G34" s="72">
        <v>29.44</v>
      </c>
      <c r="H34" s="70">
        <v>16.32</v>
      </c>
      <c r="I34" s="71">
        <f t="shared" si="5"/>
        <v>480.4608</v>
      </c>
      <c r="J34" s="71">
        <f t="shared" si="2"/>
        <v>29.44</v>
      </c>
      <c r="K34" s="71">
        <f t="shared" si="3"/>
        <v>480.4608</v>
      </c>
      <c r="L34" s="81"/>
    </row>
    <row r="35" s="48" customFormat="1" customHeight="1" spans="1:12">
      <c r="A35" s="69">
        <v>7</v>
      </c>
      <c r="B35" s="69" t="s">
        <v>104</v>
      </c>
      <c r="C35" s="69" t="s">
        <v>105</v>
      </c>
      <c r="D35" s="70">
        <v>0</v>
      </c>
      <c r="E35" s="70">
        <v>0</v>
      </c>
      <c r="F35" s="71">
        <f t="shared" si="4"/>
        <v>0</v>
      </c>
      <c r="G35" s="72">
        <v>1</v>
      </c>
      <c r="H35" s="70">
        <v>516</v>
      </c>
      <c r="I35" s="71">
        <f t="shared" si="5"/>
        <v>516</v>
      </c>
      <c r="J35" s="71">
        <f t="shared" si="2"/>
        <v>1</v>
      </c>
      <c r="K35" s="71">
        <f t="shared" si="3"/>
        <v>516</v>
      </c>
      <c r="L35" s="81"/>
    </row>
    <row r="36" s="48" customFormat="1" customHeight="1" spans="1:13">
      <c r="A36" s="66" t="s">
        <v>18</v>
      </c>
      <c r="B36" s="66" t="s">
        <v>19</v>
      </c>
      <c r="C36" s="66" t="s">
        <v>13</v>
      </c>
      <c r="D36" s="66"/>
      <c r="E36" s="66"/>
      <c r="F36" s="67">
        <f>SUM(F37:F47)</f>
        <v>0</v>
      </c>
      <c r="G36" s="68"/>
      <c r="H36" s="66"/>
      <c r="I36" s="67">
        <f>SUM(I37:I47)</f>
        <v>26020.1727</v>
      </c>
      <c r="J36" s="65"/>
      <c r="K36" s="65">
        <f t="shared" si="3"/>
        <v>26020.1727</v>
      </c>
      <c r="L36" s="81"/>
      <c r="M36" s="83"/>
    </row>
    <row r="37" s="48" customFormat="1" customHeight="1" spans="1:12">
      <c r="A37" s="69">
        <v>1</v>
      </c>
      <c r="B37" s="69" t="s">
        <v>67</v>
      </c>
      <c r="C37" s="69" t="s">
        <v>167</v>
      </c>
      <c r="D37" s="70">
        <v>0</v>
      </c>
      <c r="E37" s="70">
        <v>19.7</v>
      </c>
      <c r="F37" s="71">
        <f>D37*E37</f>
        <v>0</v>
      </c>
      <c r="G37" s="72">
        <v>3.46</v>
      </c>
      <c r="H37" s="70">
        <v>19.7</v>
      </c>
      <c r="I37" s="71">
        <f>G37*H37</f>
        <v>68.162</v>
      </c>
      <c r="J37" s="71">
        <f t="shared" ref="J37:J47" si="6">G37-D37</f>
        <v>3.46</v>
      </c>
      <c r="K37" s="71">
        <f t="shared" si="3"/>
        <v>68.162</v>
      </c>
      <c r="L37" s="81"/>
    </row>
    <row r="38" s="48" customFormat="1" customHeight="1" spans="1:12">
      <c r="A38" s="69">
        <v>2</v>
      </c>
      <c r="B38" s="69" t="s">
        <v>71</v>
      </c>
      <c r="C38" s="69" t="s">
        <v>167</v>
      </c>
      <c r="D38" s="70">
        <v>0</v>
      </c>
      <c r="E38" s="70">
        <v>562.3</v>
      </c>
      <c r="F38" s="71">
        <f t="shared" ref="F38:F47" si="7">D38*E38</f>
        <v>0</v>
      </c>
      <c r="G38" s="72">
        <v>10.92</v>
      </c>
      <c r="H38" s="70">
        <v>562.3</v>
      </c>
      <c r="I38" s="71">
        <f t="shared" ref="I38:I47" si="8">G38*H38</f>
        <v>6140.316</v>
      </c>
      <c r="J38" s="71">
        <f t="shared" si="6"/>
        <v>10.92</v>
      </c>
      <c r="K38" s="71">
        <f t="shared" si="3"/>
        <v>6140.316</v>
      </c>
      <c r="L38" s="81"/>
    </row>
    <row r="39" s="48" customFormat="1" customHeight="1" spans="1:12">
      <c r="A39" s="69">
        <v>3</v>
      </c>
      <c r="B39" s="69" t="s">
        <v>72</v>
      </c>
      <c r="C39" s="69" t="s">
        <v>167</v>
      </c>
      <c r="D39" s="70">
        <v>0</v>
      </c>
      <c r="E39" s="70">
        <v>515.71</v>
      </c>
      <c r="F39" s="71">
        <f t="shared" si="7"/>
        <v>0</v>
      </c>
      <c r="G39" s="72">
        <v>8.17</v>
      </c>
      <c r="H39" s="70">
        <v>515.71</v>
      </c>
      <c r="I39" s="71">
        <f t="shared" si="8"/>
        <v>4213.3507</v>
      </c>
      <c r="J39" s="71">
        <f t="shared" si="6"/>
        <v>8.17</v>
      </c>
      <c r="K39" s="71">
        <f t="shared" si="3"/>
        <v>4213.3507</v>
      </c>
      <c r="L39" s="81"/>
    </row>
    <row r="40" s="48" customFormat="1" customHeight="1" spans="1:12">
      <c r="A40" s="69">
        <v>4</v>
      </c>
      <c r="B40" s="69" t="s">
        <v>75</v>
      </c>
      <c r="C40" s="69" t="s">
        <v>76</v>
      </c>
      <c r="D40" s="70">
        <v>0</v>
      </c>
      <c r="E40" s="70">
        <v>5.66</v>
      </c>
      <c r="F40" s="71">
        <f t="shared" si="7"/>
        <v>0</v>
      </c>
      <c r="G40" s="72">
        <v>757.93</v>
      </c>
      <c r="H40" s="70">
        <v>5.66</v>
      </c>
      <c r="I40" s="71">
        <f t="shared" si="8"/>
        <v>4289.8838</v>
      </c>
      <c r="J40" s="71">
        <f t="shared" si="6"/>
        <v>757.93</v>
      </c>
      <c r="K40" s="71">
        <f t="shared" si="3"/>
        <v>4289.8838</v>
      </c>
      <c r="L40" s="81"/>
    </row>
    <row r="41" s="48" customFormat="1" customHeight="1" spans="1:12">
      <c r="A41" s="69">
        <v>5</v>
      </c>
      <c r="B41" s="69" t="s">
        <v>73</v>
      </c>
      <c r="C41" s="69" t="s">
        <v>168</v>
      </c>
      <c r="D41" s="70">
        <v>0</v>
      </c>
      <c r="E41" s="70">
        <v>58.41</v>
      </c>
      <c r="F41" s="71">
        <f t="shared" si="7"/>
        <v>0</v>
      </c>
      <c r="G41" s="72">
        <v>35.64</v>
      </c>
      <c r="H41" s="70">
        <v>58.41</v>
      </c>
      <c r="I41" s="71">
        <f t="shared" si="8"/>
        <v>2081.7324</v>
      </c>
      <c r="J41" s="71">
        <f t="shared" si="6"/>
        <v>35.64</v>
      </c>
      <c r="K41" s="71">
        <f t="shared" si="3"/>
        <v>2081.7324</v>
      </c>
      <c r="L41" s="81"/>
    </row>
    <row r="42" s="48" customFormat="1" customHeight="1" spans="1:12">
      <c r="A42" s="69">
        <v>6</v>
      </c>
      <c r="B42" s="69" t="s">
        <v>77</v>
      </c>
      <c r="C42" s="69" t="s">
        <v>168</v>
      </c>
      <c r="D42" s="70">
        <v>0</v>
      </c>
      <c r="E42" s="70">
        <v>16.32</v>
      </c>
      <c r="F42" s="71">
        <f t="shared" si="7"/>
        <v>0</v>
      </c>
      <c r="G42" s="72">
        <v>77.1</v>
      </c>
      <c r="H42" s="70">
        <v>16.32</v>
      </c>
      <c r="I42" s="71">
        <f t="shared" si="8"/>
        <v>1258.272</v>
      </c>
      <c r="J42" s="71">
        <f t="shared" si="6"/>
        <v>77.1</v>
      </c>
      <c r="K42" s="71">
        <f t="shared" si="3"/>
        <v>1258.272</v>
      </c>
      <c r="L42" s="81"/>
    </row>
    <row r="43" s="48" customFormat="1" customHeight="1" spans="1:12">
      <c r="A43" s="69">
        <v>7</v>
      </c>
      <c r="B43" s="69" t="s">
        <v>78</v>
      </c>
      <c r="C43" s="69" t="s">
        <v>168</v>
      </c>
      <c r="D43" s="70">
        <v>0</v>
      </c>
      <c r="E43" s="70">
        <v>95.34</v>
      </c>
      <c r="F43" s="71">
        <f t="shared" si="7"/>
        <v>0</v>
      </c>
      <c r="G43" s="72">
        <v>52.87</v>
      </c>
      <c r="H43" s="70">
        <v>95.34</v>
      </c>
      <c r="I43" s="71">
        <f t="shared" si="8"/>
        <v>5040.6258</v>
      </c>
      <c r="J43" s="71">
        <f t="shared" si="6"/>
        <v>52.87</v>
      </c>
      <c r="K43" s="71">
        <f t="shared" si="3"/>
        <v>5040.6258</v>
      </c>
      <c r="L43" s="81"/>
    </row>
    <row r="44" s="48" customFormat="1" customHeight="1" spans="1:12">
      <c r="A44" s="69">
        <v>8</v>
      </c>
      <c r="B44" s="74" t="s">
        <v>106</v>
      </c>
      <c r="C44" s="69" t="s">
        <v>105</v>
      </c>
      <c r="D44" s="70">
        <v>0</v>
      </c>
      <c r="E44" s="70">
        <v>0</v>
      </c>
      <c r="F44" s="71">
        <f t="shared" si="7"/>
        <v>0</v>
      </c>
      <c r="G44" s="72">
        <v>1</v>
      </c>
      <c r="H44" s="70">
        <v>650</v>
      </c>
      <c r="I44" s="71">
        <f t="shared" si="8"/>
        <v>650</v>
      </c>
      <c r="J44" s="71">
        <f t="shared" si="6"/>
        <v>1</v>
      </c>
      <c r="K44" s="71">
        <f t="shared" si="3"/>
        <v>650</v>
      </c>
      <c r="L44" s="81"/>
    </row>
    <row r="45" s="48" customFormat="1" customHeight="1" spans="1:12">
      <c r="A45" s="69">
        <v>9</v>
      </c>
      <c r="B45" s="74" t="s">
        <v>107</v>
      </c>
      <c r="C45" s="69" t="s">
        <v>105</v>
      </c>
      <c r="D45" s="70">
        <v>0</v>
      </c>
      <c r="E45" s="70">
        <v>0</v>
      </c>
      <c r="F45" s="71">
        <f t="shared" si="7"/>
        <v>0</v>
      </c>
      <c r="G45" s="72">
        <v>1</v>
      </c>
      <c r="H45" s="70">
        <v>130</v>
      </c>
      <c r="I45" s="71">
        <f t="shared" si="8"/>
        <v>130</v>
      </c>
      <c r="J45" s="71">
        <f t="shared" si="6"/>
        <v>1</v>
      </c>
      <c r="K45" s="71">
        <f t="shared" si="3"/>
        <v>130</v>
      </c>
      <c r="L45" s="81"/>
    </row>
    <row r="46" s="48" customFormat="1" customHeight="1" spans="1:12">
      <c r="A46" s="69">
        <v>10</v>
      </c>
      <c r="B46" s="74" t="s">
        <v>108</v>
      </c>
      <c r="C46" s="69" t="s">
        <v>105</v>
      </c>
      <c r="D46" s="70">
        <v>0</v>
      </c>
      <c r="E46" s="70">
        <v>0</v>
      </c>
      <c r="F46" s="71">
        <f t="shared" si="7"/>
        <v>0</v>
      </c>
      <c r="G46" s="72">
        <v>1</v>
      </c>
      <c r="H46" s="70">
        <v>400</v>
      </c>
      <c r="I46" s="71">
        <f t="shared" si="8"/>
        <v>400</v>
      </c>
      <c r="J46" s="71">
        <f t="shared" si="6"/>
        <v>1</v>
      </c>
      <c r="K46" s="71">
        <f t="shared" si="3"/>
        <v>400</v>
      </c>
      <c r="L46" s="81"/>
    </row>
    <row r="47" s="48" customFormat="1" customHeight="1" spans="1:12">
      <c r="A47" s="69">
        <v>11</v>
      </c>
      <c r="B47" s="74" t="s">
        <v>109</v>
      </c>
      <c r="C47" s="69" t="s">
        <v>168</v>
      </c>
      <c r="D47" s="70">
        <v>0</v>
      </c>
      <c r="E47" s="70">
        <v>0</v>
      </c>
      <c r="F47" s="71">
        <f t="shared" si="7"/>
        <v>0</v>
      </c>
      <c r="G47" s="72">
        <v>35.67</v>
      </c>
      <c r="H47" s="70">
        <v>49</v>
      </c>
      <c r="I47" s="71">
        <f t="shared" si="8"/>
        <v>1747.83</v>
      </c>
      <c r="J47" s="71">
        <f t="shared" si="6"/>
        <v>35.67</v>
      </c>
      <c r="K47" s="71">
        <f t="shared" si="3"/>
        <v>1747.83</v>
      </c>
      <c r="L47" s="81"/>
    </row>
    <row r="48" s="48" customFormat="1" customHeight="1" spans="1:13">
      <c r="A48" s="66" t="s">
        <v>20</v>
      </c>
      <c r="B48" s="66" t="s">
        <v>21</v>
      </c>
      <c r="C48" s="66" t="s">
        <v>13</v>
      </c>
      <c r="D48" s="66"/>
      <c r="E48" s="66"/>
      <c r="F48" s="67">
        <f>SUM(F49:F53)</f>
        <v>0</v>
      </c>
      <c r="G48" s="68"/>
      <c r="H48" s="66"/>
      <c r="I48" s="67">
        <f>SUM(I49:I53)</f>
        <v>516.3035</v>
      </c>
      <c r="J48" s="65"/>
      <c r="K48" s="65">
        <f t="shared" si="3"/>
        <v>516.3035</v>
      </c>
      <c r="L48" s="81"/>
      <c r="M48" s="83"/>
    </row>
    <row r="49" s="48" customFormat="1" customHeight="1" spans="1:12">
      <c r="A49" s="69">
        <v>1</v>
      </c>
      <c r="B49" s="69" t="s">
        <v>70</v>
      </c>
      <c r="C49" s="69" t="s">
        <v>167</v>
      </c>
      <c r="D49" s="70">
        <v>0</v>
      </c>
      <c r="E49" s="70">
        <v>24.9</v>
      </c>
      <c r="F49" s="71">
        <f>D49*E49</f>
        <v>0</v>
      </c>
      <c r="G49" s="72">
        <v>0.54</v>
      </c>
      <c r="H49" s="70">
        <v>24.9</v>
      </c>
      <c r="I49" s="71">
        <f>G49*H49</f>
        <v>13.446</v>
      </c>
      <c r="J49" s="71">
        <f>G49-D49</f>
        <v>0.54</v>
      </c>
      <c r="K49" s="71">
        <f t="shared" si="3"/>
        <v>13.446</v>
      </c>
      <c r="L49" s="84"/>
    </row>
    <row r="50" s="48" customFormat="1" customHeight="1" spans="1:12">
      <c r="A50" s="69">
        <v>2</v>
      </c>
      <c r="B50" s="69" t="s">
        <v>71</v>
      </c>
      <c r="C50" s="69" t="s">
        <v>167</v>
      </c>
      <c r="D50" s="70">
        <v>0</v>
      </c>
      <c r="E50" s="70">
        <v>562.3</v>
      </c>
      <c r="F50" s="71">
        <f>D50*E50</f>
        <v>0</v>
      </c>
      <c r="G50" s="72">
        <v>0.51</v>
      </c>
      <c r="H50" s="70">
        <v>562.3</v>
      </c>
      <c r="I50" s="71">
        <f>G50*H50</f>
        <v>286.773</v>
      </c>
      <c r="J50" s="71">
        <f t="shared" ref="J50:J68" si="9">G50-D50</f>
        <v>0.51</v>
      </c>
      <c r="K50" s="71">
        <f t="shared" si="3"/>
        <v>286.773</v>
      </c>
      <c r="L50" s="81"/>
    </row>
    <row r="51" s="48" customFormat="1" customHeight="1" spans="1:12">
      <c r="A51" s="69">
        <v>3</v>
      </c>
      <c r="B51" s="69" t="s">
        <v>72</v>
      </c>
      <c r="C51" s="69" t="s">
        <v>167</v>
      </c>
      <c r="D51" s="70">
        <v>0</v>
      </c>
      <c r="E51" s="70">
        <v>515.71</v>
      </c>
      <c r="F51" s="71">
        <f>D51*E51</f>
        <v>0</v>
      </c>
      <c r="G51" s="72">
        <v>0.11</v>
      </c>
      <c r="H51" s="70">
        <v>515.71</v>
      </c>
      <c r="I51" s="71">
        <f>G51*H51</f>
        <v>56.7281</v>
      </c>
      <c r="J51" s="71">
        <f t="shared" si="9"/>
        <v>0.11</v>
      </c>
      <c r="K51" s="71">
        <f t="shared" si="3"/>
        <v>56.7281</v>
      </c>
      <c r="L51" s="81"/>
    </row>
    <row r="52" s="48" customFormat="1" customHeight="1" spans="1:12">
      <c r="A52" s="69">
        <v>4</v>
      </c>
      <c r="B52" s="69" t="s">
        <v>77</v>
      </c>
      <c r="C52" s="69" t="s">
        <v>168</v>
      </c>
      <c r="D52" s="70">
        <v>0</v>
      </c>
      <c r="E52" s="70">
        <v>16.32</v>
      </c>
      <c r="F52" s="71">
        <f>D52*E52</f>
        <v>0</v>
      </c>
      <c r="G52" s="72">
        <v>2.17</v>
      </c>
      <c r="H52" s="70">
        <v>16.32</v>
      </c>
      <c r="I52" s="71">
        <f>G52*H52</f>
        <v>35.4144</v>
      </c>
      <c r="J52" s="71">
        <f t="shared" si="9"/>
        <v>2.17</v>
      </c>
      <c r="K52" s="71">
        <f t="shared" si="3"/>
        <v>35.4144</v>
      </c>
      <c r="L52" s="81"/>
    </row>
    <row r="53" s="48" customFormat="1" customHeight="1" spans="1:12">
      <c r="A53" s="69">
        <v>5</v>
      </c>
      <c r="B53" s="69" t="s">
        <v>78</v>
      </c>
      <c r="C53" s="69" t="s">
        <v>168</v>
      </c>
      <c r="D53" s="70">
        <v>0</v>
      </c>
      <c r="E53" s="70">
        <v>95.34</v>
      </c>
      <c r="F53" s="71">
        <f>D53*E53</f>
        <v>0</v>
      </c>
      <c r="G53" s="72">
        <v>1.3</v>
      </c>
      <c r="H53" s="70">
        <v>95.34</v>
      </c>
      <c r="I53" s="71">
        <f>G53*H53</f>
        <v>123.942</v>
      </c>
      <c r="J53" s="71">
        <f t="shared" si="9"/>
        <v>1.3</v>
      </c>
      <c r="K53" s="71">
        <f t="shared" si="3"/>
        <v>123.942</v>
      </c>
      <c r="L53" s="81"/>
    </row>
    <row r="54" s="48" customFormat="1" ht="48" customHeight="1" spans="1:12">
      <c r="A54" s="73" t="s">
        <v>33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</row>
    <row r="55" s="48" customFormat="1" ht="27" customHeight="1" spans="1:12">
      <c r="A55" s="66" t="s">
        <v>22</v>
      </c>
      <c r="B55" s="66"/>
      <c r="C55" s="66" t="s">
        <v>13</v>
      </c>
      <c r="D55" s="66"/>
      <c r="E55" s="66"/>
      <c r="F55" s="67">
        <f>F56+F61+F69+F77+F80+F90</f>
        <v>204912.17</v>
      </c>
      <c r="G55" s="68"/>
      <c r="H55" s="66"/>
      <c r="I55" s="67">
        <f>I56+I61+I69+I77+I80+I90</f>
        <v>223559.13</v>
      </c>
      <c r="J55" s="65"/>
      <c r="K55" s="65">
        <f t="shared" si="3"/>
        <v>18646.9600000001</v>
      </c>
      <c r="L55" s="81"/>
    </row>
    <row r="56" s="48" customFormat="1" customHeight="1" spans="1:12">
      <c r="A56" s="66" t="s">
        <v>14</v>
      </c>
      <c r="B56" s="66" t="s">
        <v>23</v>
      </c>
      <c r="C56" s="66" t="s">
        <v>13</v>
      </c>
      <c r="D56" s="66"/>
      <c r="E56" s="66"/>
      <c r="F56" s="67">
        <f>SUM(F57:F60)</f>
        <v>50700</v>
      </c>
      <c r="G56" s="68"/>
      <c r="H56" s="66"/>
      <c r="I56" s="67">
        <f>SUM(I57:I60)</f>
        <v>51900</v>
      </c>
      <c r="J56" s="65"/>
      <c r="K56" s="65">
        <f t="shared" si="3"/>
        <v>1200</v>
      </c>
      <c r="L56" s="81"/>
    </row>
    <row r="57" s="48" customFormat="1" customHeight="1" spans="1:12">
      <c r="A57" s="69">
        <v>1</v>
      </c>
      <c r="B57" s="69" t="s">
        <v>110</v>
      </c>
      <c r="C57" s="69" t="s">
        <v>111</v>
      </c>
      <c r="D57" s="69">
        <v>250</v>
      </c>
      <c r="E57" s="70">
        <v>20</v>
      </c>
      <c r="F57" s="75">
        <f t="shared" ref="F57:F60" si="10">D57*E57</f>
        <v>5000</v>
      </c>
      <c r="G57" s="76">
        <v>310</v>
      </c>
      <c r="H57" s="70">
        <v>20</v>
      </c>
      <c r="I57" s="75">
        <f t="shared" ref="I57:I60" si="11">G57*H57</f>
        <v>6200</v>
      </c>
      <c r="J57" s="71">
        <f t="shared" si="9"/>
        <v>60</v>
      </c>
      <c r="K57" s="71">
        <f t="shared" si="3"/>
        <v>1200</v>
      </c>
      <c r="L57" s="81"/>
    </row>
    <row r="58" s="48" customFormat="1" customHeight="1" spans="1:12">
      <c r="A58" s="69">
        <v>2</v>
      </c>
      <c r="B58" s="69" t="s">
        <v>112</v>
      </c>
      <c r="C58" s="69" t="s">
        <v>111</v>
      </c>
      <c r="D58" s="69">
        <v>420</v>
      </c>
      <c r="E58" s="70">
        <v>60</v>
      </c>
      <c r="F58" s="75">
        <f t="shared" si="10"/>
        <v>25200</v>
      </c>
      <c r="G58" s="76">
        <v>420</v>
      </c>
      <c r="H58" s="70">
        <v>60</v>
      </c>
      <c r="I58" s="75">
        <f t="shared" si="11"/>
        <v>25200</v>
      </c>
      <c r="J58" s="71">
        <f t="shared" si="9"/>
        <v>0</v>
      </c>
      <c r="K58" s="71">
        <f t="shared" si="3"/>
        <v>0</v>
      </c>
      <c r="L58" s="81"/>
    </row>
    <row r="59" s="48" customFormat="1" customHeight="1" spans="1:12">
      <c r="A59" s="69">
        <v>3</v>
      </c>
      <c r="B59" s="69" t="s">
        <v>113</v>
      </c>
      <c r="C59" s="69" t="s">
        <v>85</v>
      </c>
      <c r="D59" s="69">
        <v>1</v>
      </c>
      <c r="E59" s="70">
        <v>20000</v>
      </c>
      <c r="F59" s="75">
        <f t="shared" si="10"/>
        <v>20000</v>
      </c>
      <c r="G59" s="76">
        <v>1</v>
      </c>
      <c r="H59" s="70">
        <v>20000</v>
      </c>
      <c r="I59" s="75">
        <f t="shared" si="11"/>
        <v>20000</v>
      </c>
      <c r="J59" s="71">
        <f t="shared" si="9"/>
        <v>0</v>
      </c>
      <c r="K59" s="71">
        <f t="shared" si="3"/>
        <v>0</v>
      </c>
      <c r="L59" s="81"/>
    </row>
    <row r="60" s="48" customFormat="1" customHeight="1" spans="1:12">
      <c r="A60" s="69">
        <v>4</v>
      </c>
      <c r="B60" s="69" t="s">
        <v>114</v>
      </c>
      <c r="C60" s="69" t="s">
        <v>87</v>
      </c>
      <c r="D60" s="69">
        <v>1</v>
      </c>
      <c r="E60" s="70">
        <v>500</v>
      </c>
      <c r="F60" s="75">
        <f t="shared" si="10"/>
        <v>500</v>
      </c>
      <c r="G60" s="76">
        <v>1</v>
      </c>
      <c r="H60" s="70">
        <v>500</v>
      </c>
      <c r="I60" s="75">
        <f t="shared" si="11"/>
        <v>500</v>
      </c>
      <c r="J60" s="71">
        <f t="shared" si="9"/>
        <v>0</v>
      </c>
      <c r="K60" s="71">
        <f t="shared" si="3"/>
        <v>0</v>
      </c>
      <c r="L60" s="81"/>
    </row>
    <row r="61" s="48" customFormat="1" customHeight="1" spans="1:12">
      <c r="A61" s="66" t="s">
        <v>16</v>
      </c>
      <c r="B61" s="66" t="s">
        <v>24</v>
      </c>
      <c r="C61" s="66" t="s">
        <v>13</v>
      </c>
      <c r="D61" s="66"/>
      <c r="E61" s="66"/>
      <c r="F61" s="67">
        <f>SUM(F62:F68)</f>
        <v>23576</v>
      </c>
      <c r="G61" s="68"/>
      <c r="H61" s="66"/>
      <c r="I61" s="67">
        <f>SUM(I62:I68)</f>
        <v>26781</v>
      </c>
      <c r="J61" s="65"/>
      <c r="K61" s="65">
        <f t="shared" si="3"/>
        <v>3205</v>
      </c>
      <c r="L61" s="81"/>
    </row>
    <row r="62" s="48" customFormat="1" customHeight="1" spans="1:12">
      <c r="A62" s="69">
        <v>1</v>
      </c>
      <c r="B62" s="77" t="s">
        <v>115</v>
      </c>
      <c r="C62" s="69" t="s">
        <v>111</v>
      </c>
      <c r="D62" s="69">
        <v>0</v>
      </c>
      <c r="E62" s="69">
        <v>4.55</v>
      </c>
      <c r="F62" s="75">
        <f t="shared" ref="F62:F68" si="12">D62*E62</f>
        <v>0</v>
      </c>
      <c r="G62" s="76">
        <v>0</v>
      </c>
      <c r="H62" s="69">
        <v>4.55</v>
      </c>
      <c r="I62" s="75">
        <f t="shared" ref="I62:I68" si="13">G62*H62</f>
        <v>0</v>
      </c>
      <c r="J62" s="71">
        <f t="shared" si="9"/>
        <v>0</v>
      </c>
      <c r="K62" s="71">
        <f t="shared" si="3"/>
        <v>0</v>
      </c>
      <c r="L62" s="81"/>
    </row>
    <row r="63" s="48" customFormat="1" customHeight="1" spans="1:12">
      <c r="A63" s="69">
        <v>2</v>
      </c>
      <c r="B63" s="77" t="s">
        <v>116</v>
      </c>
      <c r="C63" s="69" t="s">
        <v>111</v>
      </c>
      <c r="D63" s="69">
        <v>2600</v>
      </c>
      <c r="E63" s="69">
        <v>2.83</v>
      </c>
      <c r="F63" s="75">
        <f t="shared" si="12"/>
        <v>7358</v>
      </c>
      <c r="G63" s="76">
        <v>2800</v>
      </c>
      <c r="H63" s="69">
        <v>2.83</v>
      </c>
      <c r="I63" s="75">
        <f t="shared" si="13"/>
        <v>7924</v>
      </c>
      <c r="J63" s="71">
        <f t="shared" si="9"/>
        <v>200</v>
      </c>
      <c r="K63" s="71">
        <f t="shared" si="3"/>
        <v>566</v>
      </c>
      <c r="L63" s="81"/>
    </row>
    <row r="64" s="48" customFormat="1" customHeight="1" spans="1:12">
      <c r="A64" s="69">
        <v>3</v>
      </c>
      <c r="B64" s="77" t="s">
        <v>117</v>
      </c>
      <c r="C64" s="69" t="s">
        <v>111</v>
      </c>
      <c r="D64" s="69">
        <v>1200</v>
      </c>
      <c r="E64" s="69">
        <v>2.54</v>
      </c>
      <c r="F64" s="75">
        <f t="shared" si="12"/>
        <v>3048</v>
      </c>
      <c r="G64" s="76">
        <v>1900</v>
      </c>
      <c r="H64" s="69">
        <v>2.54</v>
      </c>
      <c r="I64" s="75">
        <f t="shared" si="13"/>
        <v>4826</v>
      </c>
      <c r="J64" s="71">
        <f t="shared" si="9"/>
        <v>700</v>
      </c>
      <c r="K64" s="71">
        <f t="shared" si="3"/>
        <v>1778</v>
      </c>
      <c r="L64" s="81"/>
    </row>
    <row r="65" s="48" customFormat="1" customHeight="1" spans="1:12">
      <c r="A65" s="69">
        <v>4</v>
      </c>
      <c r="B65" s="77" t="s">
        <v>118</v>
      </c>
      <c r="C65" s="69" t="s">
        <v>111</v>
      </c>
      <c r="D65" s="69">
        <v>1000</v>
      </c>
      <c r="E65" s="69">
        <v>1.68</v>
      </c>
      <c r="F65" s="75">
        <f t="shared" si="12"/>
        <v>1680</v>
      </c>
      <c r="G65" s="76">
        <v>1400</v>
      </c>
      <c r="H65" s="69">
        <v>1.68</v>
      </c>
      <c r="I65" s="75">
        <f t="shared" si="13"/>
        <v>2352</v>
      </c>
      <c r="J65" s="71">
        <f t="shared" si="9"/>
        <v>400</v>
      </c>
      <c r="K65" s="71">
        <f t="shared" si="3"/>
        <v>672</v>
      </c>
      <c r="L65" s="81"/>
    </row>
    <row r="66" s="48" customFormat="1" customHeight="1" spans="1:12">
      <c r="A66" s="69">
        <v>5</v>
      </c>
      <c r="B66" s="77" t="s">
        <v>119</v>
      </c>
      <c r="C66" s="69" t="s">
        <v>111</v>
      </c>
      <c r="D66" s="69">
        <v>2000</v>
      </c>
      <c r="E66" s="69">
        <v>1.04</v>
      </c>
      <c r="F66" s="75">
        <f t="shared" si="12"/>
        <v>2080</v>
      </c>
      <c r="G66" s="76">
        <v>2600</v>
      </c>
      <c r="H66" s="69">
        <v>1.04</v>
      </c>
      <c r="I66" s="75">
        <f t="shared" si="13"/>
        <v>2704</v>
      </c>
      <c r="J66" s="71">
        <f t="shared" si="9"/>
        <v>600</v>
      </c>
      <c r="K66" s="71">
        <f t="shared" si="3"/>
        <v>624</v>
      </c>
      <c r="L66" s="81"/>
    </row>
    <row r="67" s="48" customFormat="1" customHeight="1" spans="1:12">
      <c r="A67" s="69">
        <v>6</v>
      </c>
      <c r="B67" s="77" t="s">
        <v>120</v>
      </c>
      <c r="C67" s="69" t="s">
        <v>111</v>
      </c>
      <c r="D67" s="69">
        <v>3000</v>
      </c>
      <c r="E67" s="69">
        <v>0.87</v>
      </c>
      <c r="F67" s="75">
        <f t="shared" si="12"/>
        <v>2610</v>
      </c>
      <c r="G67" s="85">
        <v>2500</v>
      </c>
      <c r="H67" s="69">
        <v>0.87</v>
      </c>
      <c r="I67" s="75">
        <f t="shared" si="13"/>
        <v>2175</v>
      </c>
      <c r="J67" s="71">
        <f t="shared" si="9"/>
        <v>-500</v>
      </c>
      <c r="K67" s="71">
        <f t="shared" si="3"/>
        <v>-435</v>
      </c>
      <c r="L67" s="81"/>
    </row>
    <row r="68" s="48" customFormat="1" customHeight="1" spans="1:12">
      <c r="A68" s="69">
        <v>7</v>
      </c>
      <c r="B68" s="77" t="s">
        <v>121</v>
      </c>
      <c r="C68" s="69" t="s">
        <v>111</v>
      </c>
      <c r="D68" s="69">
        <v>800</v>
      </c>
      <c r="E68" s="69">
        <v>8.5</v>
      </c>
      <c r="F68" s="75">
        <f t="shared" si="12"/>
        <v>6800</v>
      </c>
      <c r="G68" s="85">
        <v>800</v>
      </c>
      <c r="H68" s="69">
        <v>8.5</v>
      </c>
      <c r="I68" s="75">
        <f t="shared" si="13"/>
        <v>6800</v>
      </c>
      <c r="J68" s="71">
        <f t="shared" si="9"/>
        <v>0</v>
      </c>
      <c r="K68" s="71">
        <f t="shared" si="3"/>
        <v>0</v>
      </c>
      <c r="L68" s="81"/>
    </row>
    <row r="69" s="48" customFormat="1" customHeight="1" spans="1:12">
      <c r="A69" s="66" t="s">
        <v>18</v>
      </c>
      <c r="B69" s="66" t="s">
        <v>25</v>
      </c>
      <c r="C69" s="66" t="s">
        <v>13</v>
      </c>
      <c r="D69" s="66"/>
      <c r="E69" s="67"/>
      <c r="F69" s="86"/>
      <c r="G69" s="87"/>
      <c r="H69" s="67"/>
      <c r="I69" s="86">
        <f>SUM(I70:I76)</f>
        <v>63896.58</v>
      </c>
      <c r="J69" s="71"/>
      <c r="K69" s="65">
        <f t="shared" si="3"/>
        <v>63896.58</v>
      </c>
      <c r="L69" s="97"/>
    </row>
    <row r="70" s="48" customFormat="1" customHeight="1" spans="1:12">
      <c r="A70" s="69">
        <v>1</v>
      </c>
      <c r="B70" s="77" t="s">
        <v>115</v>
      </c>
      <c r="C70" s="69" t="s">
        <v>111</v>
      </c>
      <c r="D70" s="69">
        <v>0</v>
      </c>
      <c r="E70" s="69">
        <v>27.68</v>
      </c>
      <c r="F70" s="75">
        <f t="shared" ref="F70:F75" si="14">D70*E70</f>
        <v>0</v>
      </c>
      <c r="G70" s="88">
        <v>0</v>
      </c>
      <c r="H70" s="69">
        <v>27.68</v>
      </c>
      <c r="I70" s="75">
        <f t="shared" ref="I70:I75" si="15">G70*H70</f>
        <v>0</v>
      </c>
      <c r="J70" s="71">
        <f t="shared" ref="J70:J76" si="16">G70-D70</f>
        <v>0</v>
      </c>
      <c r="K70" s="71">
        <f t="shared" si="3"/>
        <v>0</v>
      </c>
      <c r="L70" s="97"/>
    </row>
    <row r="71" s="48" customFormat="1" customHeight="1" spans="1:12">
      <c r="A71" s="69">
        <v>2</v>
      </c>
      <c r="B71" s="77" t="s">
        <v>116</v>
      </c>
      <c r="C71" s="69" t="s">
        <v>111</v>
      </c>
      <c r="D71" s="69">
        <v>0</v>
      </c>
      <c r="E71" s="69">
        <v>17.35</v>
      </c>
      <c r="F71" s="75">
        <f t="shared" si="14"/>
        <v>0</v>
      </c>
      <c r="G71" s="88">
        <v>2000</v>
      </c>
      <c r="H71" s="69">
        <v>15.7</v>
      </c>
      <c r="I71" s="75">
        <f t="shared" si="15"/>
        <v>31400</v>
      </c>
      <c r="J71" s="71">
        <f t="shared" si="16"/>
        <v>2000</v>
      </c>
      <c r="K71" s="71">
        <f t="shared" si="3"/>
        <v>31400</v>
      </c>
      <c r="L71" s="97"/>
    </row>
    <row r="72" s="48" customFormat="1" customHeight="1" spans="1:12">
      <c r="A72" s="69">
        <v>3</v>
      </c>
      <c r="B72" s="77" t="s">
        <v>117</v>
      </c>
      <c r="C72" s="69" t="s">
        <v>111</v>
      </c>
      <c r="D72" s="69">
        <v>0</v>
      </c>
      <c r="E72" s="69">
        <v>10.56</v>
      </c>
      <c r="F72" s="75">
        <f t="shared" si="14"/>
        <v>0</v>
      </c>
      <c r="G72" s="88">
        <v>1200</v>
      </c>
      <c r="H72" s="69">
        <v>10.16</v>
      </c>
      <c r="I72" s="75">
        <f t="shared" si="15"/>
        <v>12192</v>
      </c>
      <c r="J72" s="71">
        <f t="shared" si="16"/>
        <v>1200</v>
      </c>
      <c r="K72" s="71">
        <f t="shared" si="3"/>
        <v>12192</v>
      </c>
      <c r="L72" s="97"/>
    </row>
    <row r="73" s="48" customFormat="1" customHeight="1" spans="1:12">
      <c r="A73" s="69">
        <v>4</v>
      </c>
      <c r="B73" s="77" t="s">
        <v>118</v>
      </c>
      <c r="C73" s="69" t="s">
        <v>111</v>
      </c>
      <c r="D73" s="69">
        <v>0</v>
      </c>
      <c r="E73" s="69">
        <v>6.96</v>
      </c>
      <c r="F73" s="75">
        <f t="shared" si="14"/>
        <v>0</v>
      </c>
      <c r="G73" s="88">
        <v>800</v>
      </c>
      <c r="H73" s="69">
        <v>6.7</v>
      </c>
      <c r="I73" s="75">
        <f t="shared" si="15"/>
        <v>5360</v>
      </c>
      <c r="J73" s="71">
        <f t="shared" si="16"/>
        <v>800</v>
      </c>
      <c r="K73" s="71">
        <f t="shared" si="3"/>
        <v>5360</v>
      </c>
      <c r="L73" s="97"/>
    </row>
    <row r="74" s="48" customFormat="1" customHeight="1" spans="1:12">
      <c r="A74" s="69">
        <v>5</v>
      </c>
      <c r="B74" s="77" t="s">
        <v>119</v>
      </c>
      <c r="C74" s="69" t="s">
        <v>111</v>
      </c>
      <c r="D74" s="69">
        <v>0</v>
      </c>
      <c r="E74" s="69">
        <v>4.55</v>
      </c>
      <c r="F74" s="75">
        <f t="shared" si="14"/>
        <v>0</v>
      </c>
      <c r="G74" s="88">
        <v>1600</v>
      </c>
      <c r="H74" s="69">
        <v>4.17</v>
      </c>
      <c r="I74" s="75">
        <f t="shared" si="15"/>
        <v>6672</v>
      </c>
      <c r="J74" s="71">
        <f t="shared" si="16"/>
        <v>1600</v>
      </c>
      <c r="K74" s="71">
        <f t="shared" si="3"/>
        <v>6672</v>
      </c>
      <c r="L74" s="97"/>
    </row>
    <row r="75" s="48" customFormat="1" customHeight="1" spans="1:12">
      <c r="A75" s="69">
        <v>6</v>
      </c>
      <c r="B75" s="77" t="s">
        <v>120</v>
      </c>
      <c r="C75" s="69" t="s">
        <v>111</v>
      </c>
      <c r="D75" s="69">
        <v>0</v>
      </c>
      <c r="E75" s="69">
        <v>3.52</v>
      </c>
      <c r="F75" s="75">
        <f t="shared" si="14"/>
        <v>0</v>
      </c>
      <c r="G75" s="88">
        <v>2100</v>
      </c>
      <c r="H75" s="69">
        <v>3.47</v>
      </c>
      <c r="I75" s="75">
        <f t="shared" si="15"/>
        <v>7287</v>
      </c>
      <c r="J75" s="71">
        <f t="shared" si="16"/>
        <v>2100</v>
      </c>
      <c r="K75" s="71">
        <f t="shared" si="3"/>
        <v>7287</v>
      </c>
      <c r="L75" s="97"/>
    </row>
    <row r="76" s="48" customFormat="1" customHeight="1" spans="1:12">
      <c r="A76" s="69">
        <v>8</v>
      </c>
      <c r="B76" s="77" t="s">
        <v>122</v>
      </c>
      <c r="C76" s="69" t="s">
        <v>123</v>
      </c>
      <c r="D76" s="89"/>
      <c r="E76" s="69"/>
      <c r="F76" s="75"/>
      <c r="G76" s="90"/>
      <c r="H76" s="69"/>
      <c r="I76" s="75">
        <v>985.58</v>
      </c>
      <c r="J76" s="71">
        <f t="shared" si="16"/>
        <v>0</v>
      </c>
      <c r="K76" s="71">
        <f t="shared" si="3"/>
        <v>985.58</v>
      </c>
      <c r="L76" s="97"/>
    </row>
    <row r="77" s="48" customFormat="1" customHeight="1" spans="1:12">
      <c r="A77" s="66" t="s">
        <v>20</v>
      </c>
      <c r="B77" s="66" t="s">
        <v>26</v>
      </c>
      <c r="C77" s="66" t="s">
        <v>13</v>
      </c>
      <c r="D77" s="89"/>
      <c r="E77" s="69"/>
      <c r="F77" s="67">
        <f>F78+F79</f>
        <v>39060</v>
      </c>
      <c r="G77" s="90"/>
      <c r="H77" s="69"/>
      <c r="I77" s="67">
        <f>I78+I79</f>
        <v>39060</v>
      </c>
      <c r="J77" s="71"/>
      <c r="K77" s="71"/>
      <c r="L77" s="97"/>
    </row>
    <row r="78" s="48" customFormat="1" customHeight="1" spans="1:12">
      <c r="A78" s="69">
        <v>1</v>
      </c>
      <c r="B78" s="77" t="s">
        <v>121</v>
      </c>
      <c r="C78" s="69" t="s">
        <v>111</v>
      </c>
      <c r="D78" s="69">
        <v>800</v>
      </c>
      <c r="E78" s="69">
        <v>45</v>
      </c>
      <c r="F78" s="75">
        <f>D78*E78</f>
        <v>36000</v>
      </c>
      <c r="G78" s="88">
        <v>800</v>
      </c>
      <c r="H78" s="69">
        <v>45</v>
      </c>
      <c r="I78" s="75">
        <f>G78*H78</f>
        <v>36000</v>
      </c>
      <c r="J78" s="71">
        <f>G78-D78</f>
        <v>0</v>
      </c>
      <c r="K78" s="71">
        <f>I78-F78</f>
        <v>0</v>
      </c>
      <c r="L78" s="97"/>
    </row>
    <row r="79" s="48" customFormat="1" customHeight="1" spans="1:12">
      <c r="A79" s="69">
        <v>2</v>
      </c>
      <c r="B79" s="77" t="s">
        <v>124</v>
      </c>
      <c r="C79" s="69" t="s">
        <v>123</v>
      </c>
      <c r="D79" s="69"/>
      <c r="E79" s="69">
        <v>0.085</v>
      </c>
      <c r="F79" s="75">
        <f>F78*E79</f>
        <v>3060</v>
      </c>
      <c r="G79" s="88"/>
      <c r="H79" s="69">
        <v>0.085</v>
      </c>
      <c r="I79" s="75">
        <f>I78*H79</f>
        <v>3060</v>
      </c>
      <c r="J79" s="71"/>
      <c r="K79" s="71"/>
      <c r="L79" s="97"/>
    </row>
    <row r="80" s="48" customFormat="1" customHeight="1" spans="1:12">
      <c r="A80" s="66" t="s">
        <v>27</v>
      </c>
      <c r="B80" s="66" t="s">
        <v>28</v>
      </c>
      <c r="C80" s="66" t="s">
        <v>13</v>
      </c>
      <c r="D80" s="89"/>
      <c r="E80" s="69"/>
      <c r="F80" s="75"/>
      <c r="G80" s="89"/>
      <c r="H80" s="69"/>
      <c r="I80" s="67">
        <f>SUM(I81:I89)</f>
        <v>11927.2</v>
      </c>
      <c r="J80" s="71"/>
      <c r="K80" s="71"/>
      <c r="L80" s="97"/>
    </row>
    <row r="81" s="48" customFormat="1" customHeight="1" spans="1:12">
      <c r="A81" s="69">
        <v>1</v>
      </c>
      <c r="B81" s="77" t="s">
        <v>125</v>
      </c>
      <c r="C81" s="69" t="s">
        <v>111</v>
      </c>
      <c r="D81" s="89"/>
      <c r="E81" s="69"/>
      <c r="F81" s="75"/>
      <c r="G81" s="91">
        <v>123</v>
      </c>
      <c r="H81" s="69">
        <v>48</v>
      </c>
      <c r="I81" s="75">
        <f t="shared" ref="I81:I89" si="17">G81*H81</f>
        <v>5904</v>
      </c>
      <c r="J81" s="71">
        <f t="shared" ref="J81:J96" si="18">G81-D81</f>
        <v>123</v>
      </c>
      <c r="K81" s="71">
        <f t="shared" ref="K81:K96" si="19">I81-F81</f>
        <v>5904</v>
      </c>
      <c r="L81" s="97"/>
    </row>
    <row r="82" s="48" customFormat="1" ht="52.5" customHeight="1" spans="1:12">
      <c r="A82" s="73" t="s">
        <v>33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</row>
    <row r="83" s="48" customFormat="1" customHeight="1" spans="1:12">
      <c r="A83" s="69">
        <v>2</v>
      </c>
      <c r="B83" s="77" t="s">
        <v>126</v>
      </c>
      <c r="C83" s="69" t="s">
        <v>91</v>
      </c>
      <c r="D83" s="89"/>
      <c r="E83" s="69"/>
      <c r="F83" s="75"/>
      <c r="G83" s="91">
        <v>10</v>
      </c>
      <c r="H83" s="69">
        <v>35</v>
      </c>
      <c r="I83" s="75">
        <f t="shared" si="17"/>
        <v>350</v>
      </c>
      <c r="J83" s="71">
        <f t="shared" si="18"/>
        <v>10</v>
      </c>
      <c r="K83" s="71">
        <f t="shared" si="19"/>
        <v>350</v>
      </c>
      <c r="L83" s="97"/>
    </row>
    <row r="84" s="48" customFormat="1" customHeight="1" spans="1:12">
      <c r="A84" s="69">
        <v>3</v>
      </c>
      <c r="B84" s="77" t="s">
        <v>127</v>
      </c>
      <c r="C84" s="69" t="s">
        <v>128</v>
      </c>
      <c r="D84" s="89"/>
      <c r="E84" s="69"/>
      <c r="F84" s="75"/>
      <c r="G84" s="91">
        <v>2</v>
      </c>
      <c r="H84" s="69">
        <v>570</v>
      </c>
      <c r="I84" s="75">
        <f t="shared" si="17"/>
        <v>1140</v>
      </c>
      <c r="J84" s="71">
        <f t="shared" si="18"/>
        <v>2</v>
      </c>
      <c r="K84" s="71">
        <f t="shared" si="19"/>
        <v>1140</v>
      </c>
      <c r="L84" s="97"/>
    </row>
    <row r="85" s="48" customFormat="1" customHeight="1" spans="1:12">
      <c r="A85" s="69">
        <v>4</v>
      </c>
      <c r="B85" s="77" t="s">
        <v>129</v>
      </c>
      <c r="C85" s="69" t="s">
        <v>130</v>
      </c>
      <c r="D85" s="89"/>
      <c r="E85" s="69"/>
      <c r="F85" s="75"/>
      <c r="G85" s="91">
        <v>4</v>
      </c>
      <c r="H85" s="69">
        <v>40</v>
      </c>
      <c r="I85" s="75">
        <f t="shared" si="17"/>
        <v>160</v>
      </c>
      <c r="J85" s="71">
        <f t="shared" si="18"/>
        <v>4</v>
      </c>
      <c r="K85" s="71">
        <f t="shared" si="19"/>
        <v>160</v>
      </c>
      <c r="L85" s="97"/>
    </row>
    <row r="86" s="48" customFormat="1" customHeight="1" spans="1:12">
      <c r="A86" s="69">
        <v>5</v>
      </c>
      <c r="B86" s="77" t="s">
        <v>131</v>
      </c>
      <c r="C86" s="69" t="s">
        <v>130</v>
      </c>
      <c r="D86" s="89"/>
      <c r="E86" s="69"/>
      <c r="F86" s="75"/>
      <c r="G86" s="91">
        <v>4</v>
      </c>
      <c r="H86" s="69">
        <v>15</v>
      </c>
      <c r="I86" s="75">
        <f t="shared" si="17"/>
        <v>60</v>
      </c>
      <c r="J86" s="71">
        <f t="shared" si="18"/>
        <v>4</v>
      </c>
      <c r="K86" s="71">
        <f t="shared" si="19"/>
        <v>60</v>
      </c>
      <c r="L86" s="97"/>
    </row>
    <row r="87" s="48" customFormat="1" customHeight="1" spans="1:12">
      <c r="A87" s="69">
        <v>6</v>
      </c>
      <c r="B87" s="77" t="s">
        <v>132</v>
      </c>
      <c r="C87" s="69" t="s">
        <v>13</v>
      </c>
      <c r="D87" s="89"/>
      <c r="E87" s="69"/>
      <c r="F87" s="75"/>
      <c r="G87" s="91">
        <v>1</v>
      </c>
      <c r="H87" s="69">
        <v>580</v>
      </c>
      <c r="I87" s="75">
        <f t="shared" si="17"/>
        <v>580</v>
      </c>
      <c r="J87" s="71">
        <f t="shared" si="18"/>
        <v>1</v>
      </c>
      <c r="K87" s="71">
        <f t="shared" si="19"/>
        <v>580</v>
      </c>
      <c r="L87" s="97"/>
    </row>
    <row r="88" s="48" customFormat="1" customHeight="1" spans="1:12">
      <c r="A88" s="69">
        <v>7</v>
      </c>
      <c r="B88" s="77" t="s">
        <v>133</v>
      </c>
      <c r="C88" s="69" t="s">
        <v>134</v>
      </c>
      <c r="D88" s="89"/>
      <c r="E88" s="69"/>
      <c r="F88" s="75"/>
      <c r="G88" s="91">
        <v>16</v>
      </c>
      <c r="H88" s="69">
        <v>2.7</v>
      </c>
      <c r="I88" s="75">
        <f t="shared" si="17"/>
        <v>43.2</v>
      </c>
      <c r="J88" s="71">
        <f t="shared" si="18"/>
        <v>16</v>
      </c>
      <c r="K88" s="71">
        <f t="shared" si="19"/>
        <v>43.2</v>
      </c>
      <c r="L88" s="97"/>
    </row>
    <row r="89" s="48" customFormat="1" customHeight="1" spans="1:12">
      <c r="A89" s="69">
        <v>8</v>
      </c>
      <c r="B89" s="77" t="s">
        <v>135</v>
      </c>
      <c r="C89" s="69" t="s">
        <v>111</v>
      </c>
      <c r="D89" s="89"/>
      <c r="E89" s="69"/>
      <c r="F89" s="75"/>
      <c r="G89" s="91">
        <v>123</v>
      </c>
      <c r="H89" s="69">
        <v>30</v>
      </c>
      <c r="I89" s="75">
        <f t="shared" si="17"/>
        <v>3690</v>
      </c>
      <c r="J89" s="71">
        <f t="shared" si="18"/>
        <v>123</v>
      </c>
      <c r="K89" s="71">
        <f t="shared" si="19"/>
        <v>3690</v>
      </c>
      <c r="L89" s="97"/>
    </row>
    <row r="90" s="48" customFormat="1" customHeight="1" spans="1:12">
      <c r="A90" s="66" t="s">
        <v>29</v>
      </c>
      <c r="B90" s="66" t="s">
        <v>30</v>
      </c>
      <c r="C90" s="66" t="s">
        <v>13</v>
      </c>
      <c r="D90" s="89"/>
      <c r="E90" s="75">
        <f>SUM(F91:F95)</f>
        <v>84402</v>
      </c>
      <c r="F90" s="92">
        <f>SUM(F91:F96)</f>
        <v>91576.17</v>
      </c>
      <c r="G90" s="89"/>
      <c r="H90" s="75">
        <f>SUM(I91:I95)</f>
        <v>29250</v>
      </c>
      <c r="I90" s="92">
        <f>SUM(I91:I96)</f>
        <v>29994.35</v>
      </c>
      <c r="J90" s="71">
        <f t="shared" si="18"/>
        <v>0</v>
      </c>
      <c r="K90" s="71">
        <f t="shared" si="19"/>
        <v>-61581.82</v>
      </c>
      <c r="L90" s="97"/>
    </row>
    <row r="91" s="48" customFormat="1" customHeight="1" spans="1:12">
      <c r="A91" s="69">
        <v>1</v>
      </c>
      <c r="B91" s="77" t="s">
        <v>116</v>
      </c>
      <c r="C91" s="69" t="s">
        <v>111</v>
      </c>
      <c r="D91" s="70">
        <v>2600</v>
      </c>
      <c r="E91" s="69">
        <v>17.35</v>
      </c>
      <c r="F91" s="75">
        <f>E91*D91</f>
        <v>45110</v>
      </c>
      <c r="G91" s="70">
        <v>800</v>
      </c>
      <c r="H91" s="69">
        <v>15.7</v>
      </c>
      <c r="I91" s="75">
        <f>H91*G91</f>
        <v>12560</v>
      </c>
      <c r="J91" s="71">
        <f t="shared" si="18"/>
        <v>-1800</v>
      </c>
      <c r="K91" s="71">
        <f t="shared" si="19"/>
        <v>-32550</v>
      </c>
      <c r="L91" s="97"/>
    </row>
    <row r="92" s="48" customFormat="1" customHeight="1" spans="1:12">
      <c r="A92" s="69">
        <v>2</v>
      </c>
      <c r="B92" s="77" t="s">
        <v>117</v>
      </c>
      <c r="C92" s="69" t="s">
        <v>111</v>
      </c>
      <c r="D92" s="70">
        <v>1200</v>
      </c>
      <c r="E92" s="69">
        <v>10.56</v>
      </c>
      <c r="F92" s="75">
        <f t="shared" ref="F92:F95" si="20">E92*D92</f>
        <v>12672</v>
      </c>
      <c r="G92" s="70">
        <v>700</v>
      </c>
      <c r="H92" s="69">
        <v>10.16</v>
      </c>
      <c r="I92" s="75">
        <f t="shared" ref="I92:I95" si="21">H92*G92</f>
        <v>7112</v>
      </c>
      <c r="J92" s="71">
        <f t="shared" si="18"/>
        <v>-500</v>
      </c>
      <c r="K92" s="71">
        <f t="shared" si="19"/>
        <v>-5560</v>
      </c>
      <c r="L92" s="97"/>
    </row>
    <row r="93" s="48" customFormat="1" customHeight="1" spans="1:12">
      <c r="A93" s="69">
        <v>3</v>
      </c>
      <c r="B93" s="77" t="s">
        <v>118</v>
      </c>
      <c r="C93" s="69" t="s">
        <v>111</v>
      </c>
      <c r="D93" s="70">
        <v>1000</v>
      </c>
      <c r="E93" s="69">
        <v>6.96</v>
      </c>
      <c r="F93" s="75">
        <f t="shared" si="20"/>
        <v>6960</v>
      </c>
      <c r="G93" s="70">
        <v>600</v>
      </c>
      <c r="H93" s="69">
        <v>6.7</v>
      </c>
      <c r="I93" s="75">
        <f t="shared" si="21"/>
        <v>4020</v>
      </c>
      <c r="J93" s="71">
        <f t="shared" si="18"/>
        <v>-400</v>
      </c>
      <c r="K93" s="71">
        <f t="shared" si="19"/>
        <v>-2940</v>
      </c>
      <c r="L93" s="97"/>
    </row>
    <row r="94" s="48" customFormat="1" customHeight="1" spans="1:12">
      <c r="A94" s="69">
        <v>4</v>
      </c>
      <c r="B94" s="77" t="s">
        <v>119</v>
      </c>
      <c r="C94" s="69" t="s">
        <v>111</v>
      </c>
      <c r="D94" s="70">
        <v>2000</v>
      </c>
      <c r="E94" s="69">
        <v>4.55</v>
      </c>
      <c r="F94" s="75">
        <f t="shared" si="20"/>
        <v>9100</v>
      </c>
      <c r="G94" s="70">
        <v>1000</v>
      </c>
      <c r="H94" s="69">
        <v>4.17</v>
      </c>
      <c r="I94" s="75">
        <f t="shared" si="21"/>
        <v>4170</v>
      </c>
      <c r="J94" s="71">
        <f t="shared" si="18"/>
        <v>-1000</v>
      </c>
      <c r="K94" s="71">
        <f t="shared" si="19"/>
        <v>-4930</v>
      </c>
      <c r="L94" s="97"/>
    </row>
    <row r="95" s="48" customFormat="1" customHeight="1" spans="1:12">
      <c r="A95" s="69">
        <v>5</v>
      </c>
      <c r="B95" s="77" t="s">
        <v>120</v>
      </c>
      <c r="C95" s="69" t="s">
        <v>111</v>
      </c>
      <c r="D95" s="70">
        <v>3000</v>
      </c>
      <c r="E95" s="69">
        <v>3.52</v>
      </c>
      <c r="F95" s="75">
        <f t="shared" si="20"/>
        <v>10560</v>
      </c>
      <c r="G95" s="70">
        <v>400</v>
      </c>
      <c r="H95" s="69">
        <v>3.47</v>
      </c>
      <c r="I95" s="75">
        <f t="shared" si="21"/>
        <v>1388</v>
      </c>
      <c r="J95" s="71">
        <f t="shared" si="18"/>
        <v>-2600</v>
      </c>
      <c r="K95" s="71">
        <f t="shared" si="19"/>
        <v>-9172</v>
      </c>
      <c r="L95" s="97"/>
    </row>
    <row r="96" s="48" customFormat="1" customHeight="1" spans="1:12">
      <c r="A96" s="69">
        <v>7</v>
      </c>
      <c r="B96" s="77" t="s">
        <v>138</v>
      </c>
      <c r="C96" s="69" t="s">
        <v>123</v>
      </c>
      <c r="D96" s="70"/>
      <c r="E96" s="93">
        <v>0.085</v>
      </c>
      <c r="F96" s="75">
        <f>E96*E90</f>
        <v>7174.17</v>
      </c>
      <c r="G96" s="70"/>
      <c r="H96" s="94"/>
      <c r="I96" s="75">
        <v>744.35</v>
      </c>
      <c r="J96" s="71">
        <f t="shared" si="18"/>
        <v>0</v>
      </c>
      <c r="K96" s="71">
        <f t="shared" si="19"/>
        <v>-6429.82</v>
      </c>
      <c r="L96" s="97"/>
    </row>
    <row r="97" s="48" customFormat="1" customHeight="1" spans="1:12">
      <c r="A97" s="95" t="s">
        <v>31</v>
      </c>
      <c r="B97" s="96"/>
      <c r="C97" s="66" t="s">
        <v>13</v>
      </c>
      <c r="D97" s="70">
        <v>293557.6</v>
      </c>
      <c r="E97" s="69">
        <v>0.05</v>
      </c>
      <c r="F97" s="67">
        <f>E97*D97</f>
        <v>14677.88</v>
      </c>
      <c r="G97" s="91"/>
      <c r="H97" s="69"/>
      <c r="I97" s="67">
        <f>F97</f>
        <v>14677.88</v>
      </c>
      <c r="J97" s="71"/>
      <c r="K97" s="71"/>
      <c r="L97" s="97"/>
    </row>
    <row r="98" ht="48" customHeight="1" spans="1:12">
      <c r="A98" s="73" t="s">
        <v>33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</row>
  </sheetData>
  <mergeCells count="17">
    <mergeCell ref="A1:L1"/>
    <mergeCell ref="A2:L2"/>
    <mergeCell ref="A3:L3"/>
    <mergeCell ref="A4:L4"/>
    <mergeCell ref="D5:F5"/>
    <mergeCell ref="G5:I5"/>
    <mergeCell ref="A9:B9"/>
    <mergeCell ref="A26:L26"/>
    <mergeCell ref="A54:L54"/>
    <mergeCell ref="A55:B55"/>
    <mergeCell ref="A82:L82"/>
    <mergeCell ref="A97:B97"/>
    <mergeCell ref="A98:L98"/>
    <mergeCell ref="A5:A6"/>
    <mergeCell ref="B5:B6"/>
    <mergeCell ref="C5:C6"/>
    <mergeCell ref="L5:L6"/>
  </mergeCells>
  <pageMargins left="0.393700787401575" right="0" top="0.590551181102362" bottom="0.393700787401575" header="0.511811023622047" footer="0.511811023622047"/>
  <pageSetup paperSize="9" scale="95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4"/>
  <sheetViews>
    <sheetView workbookViewId="0">
      <pane xSplit="4" ySplit="5" topLeftCell="E36" activePane="bottomRight" state="frozen"/>
      <selection/>
      <selection pane="topRight"/>
      <selection pane="bottomLeft"/>
      <selection pane="bottomRight" activeCell="M40" sqref="M40"/>
    </sheetView>
  </sheetViews>
  <sheetFormatPr defaultColWidth="9.44166666666667" defaultRowHeight="12"/>
  <cols>
    <col min="1" max="1" width="7.775" style="6" customWidth="1"/>
    <col min="2" max="2" width="23.775" style="7" customWidth="1"/>
    <col min="3" max="3" width="7" style="8" customWidth="1"/>
    <col min="4" max="5" width="12.2166666666667" style="9" customWidth="1"/>
    <col min="6" max="6" width="11.1083333333333" style="10" customWidth="1"/>
    <col min="7" max="8" width="16.4416666666667" style="10" customWidth="1"/>
    <col min="9" max="10" width="12.1083333333333" style="10" customWidth="1"/>
    <col min="11" max="12" width="16.4416666666667" style="10" customWidth="1"/>
    <col min="13" max="14" width="12.2166666666667" style="10" customWidth="1"/>
    <col min="15" max="15" width="14.5583333333333" style="10" customWidth="1"/>
    <col min="16" max="16" width="16.4416666666667" style="10" customWidth="1"/>
    <col min="17" max="256" width="9.44166666666667" style="10"/>
    <col min="257" max="257" width="7.775" style="10" customWidth="1"/>
    <col min="258" max="258" width="23.775" style="10" customWidth="1"/>
    <col min="259" max="259" width="7" style="10" customWidth="1"/>
    <col min="260" max="261" width="12.2166666666667" style="10" customWidth="1"/>
    <col min="262" max="262" width="11.1083333333333" style="10" customWidth="1"/>
    <col min="263" max="264" width="16.4416666666667" style="10" customWidth="1"/>
    <col min="265" max="266" width="12.1083333333333" style="10" customWidth="1"/>
    <col min="267" max="268" width="16.4416666666667" style="10" customWidth="1"/>
    <col min="269" max="270" width="12.2166666666667" style="10" customWidth="1"/>
    <col min="271" max="271" width="14.5583333333333" style="10" customWidth="1"/>
    <col min="272" max="272" width="16.4416666666667" style="10" customWidth="1"/>
    <col min="273" max="512" width="9.44166666666667" style="10"/>
    <col min="513" max="513" width="7.775" style="10" customWidth="1"/>
    <col min="514" max="514" width="23.775" style="10" customWidth="1"/>
    <col min="515" max="515" width="7" style="10" customWidth="1"/>
    <col min="516" max="517" width="12.2166666666667" style="10" customWidth="1"/>
    <col min="518" max="518" width="11.1083333333333" style="10" customWidth="1"/>
    <col min="519" max="520" width="16.4416666666667" style="10" customWidth="1"/>
    <col min="521" max="522" width="12.1083333333333" style="10" customWidth="1"/>
    <col min="523" max="524" width="16.4416666666667" style="10" customWidth="1"/>
    <col min="525" max="526" width="12.2166666666667" style="10" customWidth="1"/>
    <col min="527" max="527" width="14.5583333333333" style="10" customWidth="1"/>
    <col min="528" max="528" width="16.4416666666667" style="10" customWidth="1"/>
    <col min="529" max="768" width="9.44166666666667" style="10"/>
    <col min="769" max="769" width="7.775" style="10" customWidth="1"/>
    <col min="770" max="770" width="23.775" style="10" customWidth="1"/>
    <col min="771" max="771" width="7" style="10" customWidth="1"/>
    <col min="772" max="773" width="12.2166666666667" style="10" customWidth="1"/>
    <col min="774" max="774" width="11.1083333333333" style="10" customWidth="1"/>
    <col min="775" max="776" width="16.4416666666667" style="10" customWidth="1"/>
    <col min="777" max="778" width="12.1083333333333" style="10" customWidth="1"/>
    <col min="779" max="780" width="16.4416666666667" style="10" customWidth="1"/>
    <col min="781" max="782" width="12.2166666666667" style="10" customWidth="1"/>
    <col min="783" max="783" width="14.5583333333333" style="10" customWidth="1"/>
    <col min="784" max="784" width="16.4416666666667" style="10" customWidth="1"/>
    <col min="785" max="1024" width="9.44166666666667" style="10"/>
    <col min="1025" max="1025" width="7.775" style="10" customWidth="1"/>
    <col min="1026" max="1026" width="23.775" style="10" customWidth="1"/>
    <col min="1027" max="1027" width="7" style="10" customWidth="1"/>
    <col min="1028" max="1029" width="12.2166666666667" style="10" customWidth="1"/>
    <col min="1030" max="1030" width="11.1083333333333" style="10" customWidth="1"/>
    <col min="1031" max="1032" width="16.4416666666667" style="10" customWidth="1"/>
    <col min="1033" max="1034" width="12.1083333333333" style="10" customWidth="1"/>
    <col min="1035" max="1036" width="16.4416666666667" style="10" customWidth="1"/>
    <col min="1037" max="1038" width="12.2166666666667" style="10" customWidth="1"/>
    <col min="1039" max="1039" width="14.5583333333333" style="10" customWidth="1"/>
    <col min="1040" max="1040" width="16.4416666666667" style="10" customWidth="1"/>
    <col min="1041" max="1280" width="9.44166666666667" style="10"/>
    <col min="1281" max="1281" width="7.775" style="10" customWidth="1"/>
    <col min="1282" max="1282" width="23.775" style="10" customWidth="1"/>
    <col min="1283" max="1283" width="7" style="10" customWidth="1"/>
    <col min="1284" max="1285" width="12.2166666666667" style="10" customWidth="1"/>
    <col min="1286" max="1286" width="11.1083333333333" style="10" customWidth="1"/>
    <col min="1287" max="1288" width="16.4416666666667" style="10" customWidth="1"/>
    <col min="1289" max="1290" width="12.1083333333333" style="10" customWidth="1"/>
    <col min="1291" max="1292" width="16.4416666666667" style="10" customWidth="1"/>
    <col min="1293" max="1294" width="12.2166666666667" style="10" customWidth="1"/>
    <col min="1295" max="1295" width="14.5583333333333" style="10" customWidth="1"/>
    <col min="1296" max="1296" width="16.4416666666667" style="10" customWidth="1"/>
    <col min="1297" max="1536" width="9.44166666666667" style="10"/>
    <col min="1537" max="1537" width="7.775" style="10" customWidth="1"/>
    <col min="1538" max="1538" width="23.775" style="10" customWidth="1"/>
    <col min="1539" max="1539" width="7" style="10" customWidth="1"/>
    <col min="1540" max="1541" width="12.2166666666667" style="10" customWidth="1"/>
    <col min="1542" max="1542" width="11.1083333333333" style="10" customWidth="1"/>
    <col min="1543" max="1544" width="16.4416666666667" style="10" customWidth="1"/>
    <col min="1545" max="1546" width="12.1083333333333" style="10" customWidth="1"/>
    <col min="1547" max="1548" width="16.4416666666667" style="10" customWidth="1"/>
    <col min="1549" max="1550" width="12.2166666666667" style="10" customWidth="1"/>
    <col min="1551" max="1551" width="14.5583333333333" style="10" customWidth="1"/>
    <col min="1552" max="1552" width="16.4416666666667" style="10" customWidth="1"/>
    <col min="1553" max="1792" width="9.44166666666667" style="10"/>
    <col min="1793" max="1793" width="7.775" style="10" customWidth="1"/>
    <col min="1794" max="1794" width="23.775" style="10" customWidth="1"/>
    <col min="1795" max="1795" width="7" style="10" customWidth="1"/>
    <col min="1796" max="1797" width="12.2166666666667" style="10" customWidth="1"/>
    <col min="1798" max="1798" width="11.1083333333333" style="10" customWidth="1"/>
    <col min="1799" max="1800" width="16.4416666666667" style="10" customWidth="1"/>
    <col min="1801" max="1802" width="12.1083333333333" style="10" customWidth="1"/>
    <col min="1803" max="1804" width="16.4416666666667" style="10" customWidth="1"/>
    <col min="1805" max="1806" width="12.2166666666667" style="10" customWidth="1"/>
    <col min="1807" max="1807" width="14.5583333333333" style="10" customWidth="1"/>
    <col min="1808" max="1808" width="16.4416666666667" style="10" customWidth="1"/>
    <col min="1809" max="2048" width="9.44166666666667" style="10"/>
    <col min="2049" max="2049" width="7.775" style="10" customWidth="1"/>
    <col min="2050" max="2050" width="23.775" style="10" customWidth="1"/>
    <col min="2051" max="2051" width="7" style="10" customWidth="1"/>
    <col min="2052" max="2053" width="12.2166666666667" style="10" customWidth="1"/>
    <col min="2054" max="2054" width="11.1083333333333" style="10" customWidth="1"/>
    <col min="2055" max="2056" width="16.4416666666667" style="10" customWidth="1"/>
    <col min="2057" max="2058" width="12.1083333333333" style="10" customWidth="1"/>
    <col min="2059" max="2060" width="16.4416666666667" style="10" customWidth="1"/>
    <col min="2061" max="2062" width="12.2166666666667" style="10" customWidth="1"/>
    <col min="2063" max="2063" width="14.5583333333333" style="10" customWidth="1"/>
    <col min="2064" max="2064" width="16.4416666666667" style="10" customWidth="1"/>
    <col min="2065" max="2304" width="9.44166666666667" style="10"/>
    <col min="2305" max="2305" width="7.775" style="10" customWidth="1"/>
    <col min="2306" max="2306" width="23.775" style="10" customWidth="1"/>
    <col min="2307" max="2307" width="7" style="10" customWidth="1"/>
    <col min="2308" max="2309" width="12.2166666666667" style="10" customWidth="1"/>
    <col min="2310" max="2310" width="11.1083333333333" style="10" customWidth="1"/>
    <col min="2311" max="2312" width="16.4416666666667" style="10" customWidth="1"/>
    <col min="2313" max="2314" width="12.1083333333333" style="10" customWidth="1"/>
    <col min="2315" max="2316" width="16.4416666666667" style="10" customWidth="1"/>
    <col min="2317" max="2318" width="12.2166666666667" style="10" customWidth="1"/>
    <col min="2319" max="2319" width="14.5583333333333" style="10" customWidth="1"/>
    <col min="2320" max="2320" width="16.4416666666667" style="10" customWidth="1"/>
    <col min="2321" max="2560" width="9.44166666666667" style="10"/>
    <col min="2561" max="2561" width="7.775" style="10" customWidth="1"/>
    <col min="2562" max="2562" width="23.775" style="10" customWidth="1"/>
    <col min="2563" max="2563" width="7" style="10" customWidth="1"/>
    <col min="2564" max="2565" width="12.2166666666667" style="10" customWidth="1"/>
    <col min="2566" max="2566" width="11.1083333333333" style="10" customWidth="1"/>
    <col min="2567" max="2568" width="16.4416666666667" style="10" customWidth="1"/>
    <col min="2569" max="2570" width="12.1083333333333" style="10" customWidth="1"/>
    <col min="2571" max="2572" width="16.4416666666667" style="10" customWidth="1"/>
    <col min="2573" max="2574" width="12.2166666666667" style="10" customWidth="1"/>
    <col min="2575" max="2575" width="14.5583333333333" style="10" customWidth="1"/>
    <col min="2576" max="2576" width="16.4416666666667" style="10" customWidth="1"/>
    <col min="2577" max="2816" width="9.44166666666667" style="10"/>
    <col min="2817" max="2817" width="7.775" style="10" customWidth="1"/>
    <col min="2818" max="2818" width="23.775" style="10" customWidth="1"/>
    <col min="2819" max="2819" width="7" style="10" customWidth="1"/>
    <col min="2820" max="2821" width="12.2166666666667" style="10" customWidth="1"/>
    <col min="2822" max="2822" width="11.1083333333333" style="10" customWidth="1"/>
    <col min="2823" max="2824" width="16.4416666666667" style="10" customWidth="1"/>
    <col min="2825" max="2826" width="12.1083333333333" style="10" customWidth="1"/>
    <col min="2827" max="2828" width="16.4416666666667" style="10" customWidth="1"/>
    <col min="2829" max="2830" width="12.2166666666667" style="10" customWidth="1"/>
    <col min="2831" max="2831" width="14.5583333333333" style="10" customWidth="1"/>
    <col min="2832" max="2832" width="16.4416666666667" style="10" customWidth="1"/>
    <col min="2833" max="3072" width="9.44166666666667" style="10"/>
    <col min="3073" max="3073" width="7.775" style="10" customWidth="1"/>
    <col min="3074" max="3074" width="23.775" style="10" customWidth="1"/>
    <col min="3075" max="3075" width="7" style="10" customWidth="1"/>
    <col min="3076" max="3077" width="12.2166666666667" style="10" customWidth="1"/>
    <col min="3078" max="3078" width="11.1083333333333" style="10" customWidth="1"/>
    <col min="3079" max="3080" width="16.4416666666667" style="10" customWidth="1"/>
    <col min="3081" max="3082" width="12.1083333333333" style="10" customWidth="1"/>
    <col min="3083" max="3084" width="16.4416666666667" style="10" customWidth="1"/>
    <col min="3085" max="3086" width="12.2166666666667" style="10" customWidth="1"/>
    <col min="3087" max="3087" width="14.5583333333333" style="10" customWidth="1"/>
    <col min="3088" max="3088" width="16.4416666666667" style="10" customWidth="1"/>
    <col min="3089" max="3328" width="9.44166666666667" style="10"/>
    <col min="3329" max="3329" width="7.775" style="10" customWidth="1"/>
    <col min="3330" max="3330" width="23.775" style="10" customWidth="1"/>
    <col min="3331" max="3331" width="7" style="10" customWidth="1"/>
    <col min="3332" max="3333" width="12.2166666666667" style="10" customWidth="1"/>
    <col min="3334" max="3334" width="11.1083333333333" style="10" customWidth="1"/>
    <col min="3335" max="3336" width="16.4416666666667" style="10" customWidth="1"/>
    <col min="3337" max="3338" width="12.1083333333333" style="10" customWidth="1"/>
    <col min="3339" max="3340" width="16.4416666666667" style="10" customWidth="1"/>
    <col min="3341" max="3342" width="12.2166666666667" style="10" customWidth="1"/>
    <col min="3343" max="3343" width="14.5583333333333" style="10" customWidth="1"/>
    <col min="3344" max="3344" width="16.4416666666667" style="10" customWidth="1"/>
    <col min="3345" max="3584" width="9.44166666666667" style="10"/>
    <col min="3585" max="3585" width="7.775" style="10" customWidth="1"/>
    <col min="3586" max="3586" width="23.775" style="10" customWidth="1"/>
    <col min="3587" max="3587" width="7" style="10" customWidth="1"/>
    <col min="3588" max="3589" width="12.2166666666667" style="10" customWidth="1"/>
    <col min="3590" max="3590" width="11.1083333333333" style="10" customWidth="1"/>
    <col min="3591" max="3592" width="16.4416666666667" style="10" customWidth="1"/>
    <col min="3593" max="3594" width="12.1083333333333" style="10" customWidth="1"/>
    <col min="3595" max="3596" width="16.4416666666667" style="10" customWidth="1"/>
    <col min="3597" max="3598" width="12.2166666666667" style="10" customWidth="1"/>
    <col min="3599" max="3599" width="14.5583333333333" style="10" customWidth="1"/>
    <col min="3600" max="3600" width="16.4416666666667" style="10" customWidth="1"/>
    <col min="3601" max="3840" width="9.44166666666667" style="10"/>
    <col min="3841" max="3841" width="7.775" style="10" customWidth="1"/>
    <col min="3842" max="3842" width="23.775" style="10" customWidth="1"/>
    <col min="3843" max="3843" width="7" style="10" customWidth="1"/>
    <col min="3844" max="3845" width="12.2166666666667" style="10" customWidth="1"/>
    <col min="3846" max="3846" width="11.1083333333333" style="10" customWidth="1"/>
    <col min="3847" max="3848" width="16.4416666666667" style="10" customWidth="1"/>
    <col min="3849" max="3850" width="12.1083333333333" style="10" customWidth="1"/>
    <col min="3851" max="3852" width="16.4416666666667" style="10" customWidth="1"/>
    <col min="3853" max="3854" width="12.2166666666667" style="10" customWidth="1"/>
    <col min="3855" max="3855" width="14.5583333333333" style="10" customWidth="1"/>
    <col min="3856" max="3856" width="16.4416666666667" style="10" customWidth="1"/>
    <col min="3857" max="4096" width="9.44166666666667" style="10"/>
    <col min="4097" max="4097" width="7.775" style="10" customWidth="1"/>
    <col min="4098" max="4098" width="23.775" style="10" customWidth="1"/>
    <col min="4099" max="4099" width="7" style="10" customWidth="1"/>
    <col min="4100" max="4101" width="12.2166666666667" style="10" customWidth="1"/>
    <col min="4102" max="4102" width="11.1083333333333" style="10" customWidth="1"/>
    <col min="4103" max="4104" width="16.4416666666667" style="10" customWidth="1"/>
    <col min="4105" max="4106" width="12.1083333333333" style="10" customWidth="1"/>
    <col min="4107" max="4108" width="16.4416666666667" style="10" customWidth="1"/>
    <col min="4109" max="4110" width="12.2166666666667" style="10" customWidth="1"/>
    <col min="4111" max="4111" width="14.5583333333333" style="10" customWidth="1"/>
    <col min="4112" max="4112" width="16.4416666666667" style="10" customWidth="1"/>
    <col min="4113" max="4352" width="9.44166666666667" style="10"/>
    <col min="4353" max="4353" width="7.775" style="10" customWidth="1"/>
    <col min="4354" max="4354" width="23.775" style="10" customWidth="1"/>
    <col min="4355" max="4355" width="7" style="10" customWidth="1"/>
    <col min="4356" max="4357" width="12.2166666666667" style="10" customWidth="1"/>
    <col min="4358" max="4358" width="11.1083333333333" style="10" customWidth="1"/>
    <col min="4359" max="4360" width="16.4416666666667" style="10" customWidth="1"/>
    <col min="4361" max="4362" width="12.1083333333333" style="10" customWidth="1"/>
    <col min="4363" max="4364" width="16.4416666666667" style="10" customWidth="1"/>
    <col min="4365" max="4366" width="12.2166666666667" style="10" customWidth="1"/>
    <col min="4367" max="4367" width="14.5583333333333" style="10" customWidth="1"/>
    <col min="4368" max="4368" width="16.4416666666667" style="10" customWidth="1"/>
    <col min="4369" max="4608" width="9.44166666666667" style="10"/>
    <col min="4609" max="4609" width="7.775" style="10" customWidth="1"/>
    <col min="4610" max="4610" width="23.775" style="10" customWidth="1"/>
    <col min="4611" max="4611" width="7" style="10" customWidth="1"/>
    <col min="4612" max="4613" width="12.2166666666667" style="10" customWidth="1"/>
    <col min="4614" max="4614" width="11.1083333333333" style="10" customWidth="1"/>
    <col min="4615" max="4616" width="16.4416666666667" style="10" customWidth="1"/>
    <col min="4617" max="4618" width="12.1083333333333" style="10" customWidth="1"/>
    <col min="4619" max="4620" width="16.4416666666667" style="10" customWidth="1"/>
    <col min="4621" max="4622" width="12.2166666666667" style="10" customWidth="1"/>
    <col min="4623" max="4623" width="14.5583333333333" style="10" customWidth="1"/>
    <col min="4624" max="4624" width="16.4416666666667" style="10" customWidth="1"/>
    <col min="4625" max="4864" width="9.44166666666667" style="10"/>
    <col min="4865" max="4865" width="7.775" style="10" customWidth="1"/>
    <col min="4866" max="4866" width="23.775" style="10" customWidth="1"/>
    <col min="4867" max="4867" width="7" style="10" customWidth="1"/>
    <col min="4868" max="4869" width="12.2166666666667" style="10" customWidth="1"/>
    <col min="4870" max="4870" width="11.1083333333333" style="10" customWidth="1"/>
    <col min="4871" max="4872" width="16.4416666666667" style="10" customWidth="1"/>
    <col min="4873" max="4874" width="12.1083333333333" style="10" customWidth="1"/>
    <col min="4875" max="4876" width="16.4416666666667" style="10" customWidth="1"/>
    <col min="4877" max="4878" width="12.2166666666667" style="10" customWidth="1"/>
    <col min="4879" max="4879" width="14.5583333333333" style="10" customWidth="1"/>
    <col min="4880" max="4880" width="16.4416666666667" style="10" customWidth="1"/>
    <col min="4881" max="5120" width="9.44166666666667" style="10"/>
    <col min="5121" max="5121" width="7.775" style="10" customWidth="1"/>
    <col min="5122" max="5122" width="23.775" style="10" customWidth="1"/>
    <col min="5123" max="5123" width="7" style="10" customWidth="1"/>
    <col min="5124" max="5125" width="12.2166666666667" style="10" customWidth="1"/>
    <col min="5126" max="5126" width="11.1083333333333" style="10" customWidth="1"/>
    <col min="5127" max="5128" width="16.4416666666667" style="10" customWidth="1"/>
    <col min="5129" max="5130" width="12.1083333333333" style="10" customWidth="1"/>
    <col min="5131" max="5132" width="16.4416666666667" style="10" customWidth="1"/>
    <col min="5133" max="5134" width="12.2166666666667" style="10" customWidth="1"/>
    <col min="5135" max="5135" width="14.5583333333333" style="10" customWidth="1"/>
    <col min="5136" max="5136" width="16.4416666666667" style="10" customWidth="1"/>
    <col min="5137" max="5376" width="9.44166666666667" style="10"/>
    <col min="5377" max="5377" width="7.775" style="10" customWidth="1"/>
    <col min="5378" max="5378" width="23.775" style="10" customWidth="1"/>
    <col min="5379" max="5379" width="7" style="10" customWidth="1"/>
    <col min="5380" max="5381" width="12.2166666666667" style="10" customWidth="1"/>
    <col min="5382" max="5382" width="11.1083333333333" style="10" customWidth="1"/>
    <col min="5383" max="5384" width="16.4416666666667" style="10" customWidth="1"/>
    <col min="5385" max="5386" width="12.1083333333333" style="10" customWidth="1"/>
    <col min="5387" max="5388" width="16.4416666666667" style="10" customWidth="1"/>
    <col min="5389" max="5390" width="12.2166666666667" style="10" customWidth="1"/>
    <col min="5391" max="5391" width="14.5583333333333" style="10" customWidth="1"/>
    <col min="5392" max="5392" width="16.4416666666667" style="10" customWidth="1"/>
    <col min="5393" max="5632" width="9.44166666666667" style="10"/>
    <col min="5633" max="5633" width="7.775" style="10" customWidth="1"/>
    <col min="5634" max="5634" width="23.775" style="10" customWidth="1"/>
    <col min="5635" max="5635" width="7" style="10" customWidth="1"/>
    <col min="5636" max="5637" width="12.2166666666667" style="10" customWidth="1"/>
    <col min="5638" max="5638" width="11.1083333333333" style="10" customWidth="1"/>
    <col min="5639" max="5640" width="16.4416666666667" style="10" customWidth="1"/>
    <col min="5641" max="5642" width="12.1083333333333" style="10" customWidth="1"/>
    <col min="5643" max="5644" width="16.4416666666667" style="10" customWidth="1"/>
    <col min="5645" max="5646" width="12.2166666666667" style="10" customWidth="1"/>
    <col min="5647" max="5647" width="14.5583333333333" style="10" customWidth="1"/>
    <col min="5648" max="5648" width="16.4416666666667" style="10" customWidth="1"/>
    <col min="5649" max="5888" width="9.44166666666667" style="10"/>
    <col min="5889" max="5889" width="7.775" style="10" customWidth="1"/>
    <col min="5890" max="5890" width="23.775" style="10" customWidth="1"/>
    <col min="5891" max="5891" width="7" style="10" customWidth="1"/>
    <col min="5892" max="5893" width="12.2166666666667" style="10" customWidth="1"/>
    <col min="5894" max="5894" width="11.1083333333333" style="10" customWidth="1"/>
    <col min="5895" max="5896" width="16.4416666666667" style="10" customWidth="1"/>
    <col min="5897" max="5898" width="12.1083333333333" style="10" customWidth="1"/>
    <col min="5899" max="5900" width="16.4416666666667" style="10" customWidth="1"/>
    <col min="5901" max="5902" width="12.2166666666667" style="10" customWidth="1"/>
    <col min="5903" max="5903" width="14.5583333333333" style="10" customWidth="1"/>
    <col min="5904" max="5904" width="16.4416666666667" style="10" customWidth="1"/>
    <col min="5905" max="6144" width="9.44166666666667" style="10"/>
    <col min="6145" max="6145" width="7.775" style="10" customWidth="1"/>
    <col min="6146" max="6146" width="23.775" style="10" customWidth="1"/>
    <col min="6147" max="6147" width="7" style="10" customWidth="1"/>
    <col min="6148" max="6149" width="12.2166666666667" style="10" customWidth="1"/>
    <col min="6150" max="6150" width="11.1083333333333" style="10" customWidth="1"/>
    <col min="6151" max="6152" width="16.4416666666667" style="10" customWidth="1"/>
    <col min="6153" max="6154" width="12.1083333333333" style="10" customWidth="1"/>
    <col min="6155" max="6156" width="16.4416666666667" style="10" customWidth="1"/>
    <col min="6157" max="6158" width="12.2166666666667" style="10" customWidth="1"/>
    <col min="6159" max="6159" width="14.5583333333333" style="10" customWidth="1"/>
    <col min="6160" max="6160" width="16.4416666666667" style="10" customWidth="1"/>
    <col min="6161" max="6400" width="9.44166666666667" style="10"/>
    <col min="6401" max="6401" width="7.775" style="10" customWidth="1"/>
    <col min="6402" max="6402" width="23.775" style="10" customWidth="1"/>
    <col min="6403" max="6403" width="7" style="10" customWidth="1"/>
    <col min="6404" max="6405" width="12.2166666666667" style="10" customWidth="1"/>
    <col min="6406" max="6406" width="11.1083333333333" style="10" customWidth="1"/>
    <col min="6407" max="6408" width="16.4416666666667" style="10" customWidth="1"/>
    <col min="6409" max="6410" width="12.1083333333333" style="10" customWidth="1"/>
    <col min="6411" max="6412" width="16.4416666666667" style="10" customWidth="1"/>
    <col min="6413" max="6414" width="12.2166666666667" style="10" customWidth="1"/>
    <col min="6415" max="6415" width="14.5583333333333" style="10" customWidth="1"/>
    <col min="6416" max="6416" width="16.4416666666667" style="10" customWidth="1"/>
    <col min="6417" max="6656" width="9.44166666666667" style="10"/>
    <col min="6657" max="6657" width="7.775" style="10" customWidth="1"/>
    <col min="6658" max="6658" width="23.775" style="10" customWidth="1"/>
    <col min="6659" max="6659" width="7" style="10" customWidth="1"/>
    <col min="6660" max="6661" width="12.2166666666667" style="10" customWidth="1"/>
    <col min="6662" max="6662" width="11.1083333333333" style="10" customWidth="1"/>
    <col min="6663" max="6664" width="16.4416666666667" style="10" customWidth="1"/>
    <col min="6665" max="6666" width="12.1083333333333" style="10" customWidth="1"/>
    <col min="6667" max="6668" width="16.4416666666667" style="10" customWidth="1"/>
    <col min="6669" max="6670" width="12.2166666666667" style="10" customWidth="1"/>
    <col min="6671" max="6671" width="14.5583333333333" style="10" customWidth="1"/>
    <col min="6672" max="6672" width="16.4416666666667" style="10" customWidth="1"/>
    <col min="6673" max="6912" width="9.44166666666667" style="10"/>
    <col min="6913" max="6913" width="7.775" style="10" customWidth="1"/>
    <col min="6914" max="6914" width="23.775" style="10" customWidth="1"/>
    <col min="6915" max="6915" width="7" style="10" customWidth="1"/>
    <col min="6916" max="6917" width="12.2166666666667" style="10" customWidth="1"/>
    <col min="6918" max="6918" width="11.1083333333333" style="10" customWidth="1"/>
    <col min="6919" max="6920" width="16.4416666666667" style="10" customWidth="1"/>
    <col min="6921" max="6922" width="12.1083333333333" style="10" customWidth="1"/>
    <col min="6923" max="6924" width="16.4416666666667" style="10" customWidth="1"/>
    <col min="6925" max="6926" width="12.2166666666667" style="10" customWidth="1"/>
    <col min="6927" max="6927" width="14.5583333333333" style="10" customWidth="1"/>
    <col min="6928" max="6928" width="16.4416666666667" style="10" customWidth="1"/>
    <col min="6929" max="7168" width="9.44166666666667" style="10"/>
    <col min="7169" max="7169" width="7.775" style="10" customWidth="1"/>
    <col min="7170" max="7170" width="23.775" style="10" customWidth="1"/>
    <col min="7171" max="7171" width="7" style="10" customWidth="1"/>
    <col min="7172" max="7173" width="12.2166666666667" style="10" customWidth="1"/>
    <col min="7174" max="7174" width="11.1083333333333" style="10" customWidth="1"/>
    <col min="7175" max="7176" width="16.4416666666667" style="10" customWidth="1"/>
    <col min="7177" max="7178" width="12.1083333333333" style="10" customWidth="1"/>
    <col min="7179" max="7180" width="16.4416666666667" style="10" customWidth="1"/>
    <col min="7181" max="7182" width="12.2166666666667" style="10" customWidth="1"/>
    <col min="7183" max="7183" width="14.5583333333333" style="10" customWidth="1"/>
    <col min="7184" max="7184" width="16.4416666666667" style="10" customWidth="1"/>
    <col min="7185" max="7424" width="9.44166666666667" style="10"/>
    <col min="7425" max="7425" width="7.775" style="10" customWidth="1"/>
    <col min="7426" max="7426" width="23.775" style="10" customWidth="1"/>
    <col min="7427" max="7427" width="7" style="10" customWidth="1"/>
    <col min="7428" max="7429" width="12.2166666666667" style="10" customWidth="1"/>
    <col min="7430" max="7430" width="11.1083333333333" style="10" customWidth="1"/>
    <col min="7431" max="7432" width="16.4416666666667" style="10" customWidth="1"/>
    <col min="7433" max="7434" width="12.1083333333333" style="10" customWidth="1"/>
    <col min="7435" max="7436" width="16.4416666666667" style="10" customWidth="1"/>
    <col min="7437" max="7438" width="12.2166666666667" style="10" customWidth="1"/>
    <col min="7439" max="7439" width="14.5583333333333" style="10" customWidth="1"/>
    <col min="7440" max="7440" width="16.4416666666667" style="10" customWidth="1"/>
    <col min="7441" max="7680" width="9.44166666666667" style="10"/>
    <col min="7681" max="7681" width="7.775" style="10" customWidth="1"/>
    <col min="7682" max="7682" width="23.775" style="10" customWidth="1"/>
    <col min="7683" max="7683" width="7" style="10" customWidth="1"/>
    <col min="7684" max="7685" width="12.2166666666667" style="10" customWidth="1"/>
    <col min="7686" max="7686" width="11.1083333333333" style="10" customWidth="1"/>
    <col min="7687" max="7688" width="16.4416666666667" style="10" customWidth="1"/>
    <col min="7689" max="7690" width="12.1083333333333" style="10" customWidth="1"/>
    <col min="7691" max="7692" width="16.4416666666667" style="10" customWidth="1"/>
    <col min="7693" max="7694" width="12.2166666666667" style="10" customWidth="1"/>
    <col min="7695" max="7695" width="14.5583333333333" style="10" customWidth="1"/>
    <col min="7696" max="7696" width="16.4416666666667" style="10" customWidth="1"/>
    <col min="7697" max="7936" width="9.44166666666667" style="10"/>
    <col min="7937" max="7937" width="7.775" style="10" customWidth="1"/>
    <col min="7938" max="7938" width="23.775" style="10" customWidth="1"/>
    <col min="7939" max="7939" width="7" style="10" customWidth="1"/>
    <col min="7940" max="7941" width="12.2166666666667" style="10" customWidth="1"/>
    <col min="7942" max="7942" width="11.1083333333333" style="10" customWidth="1"/>
    <col min="7943" max="7944" width="16.4416666666667" style="10" customWidth="1"/>
    <col min="7945" max="7946" width="12.1083333333333" style="10" customWidth="1"/>
    <col min="7947" max="7948" width="16.4416666666667" style="10" customWidth="1"/>
    <col min="7949" max="7950" width="12.2166666666667" style="10" customWidth="1"/>
    <col min="7951" max="7951" width="14.5583333333333" style="10" customWidth="1"/>
    <col min="7952" max="7952" width="16.4416666666667" style="10" customWidth="1"/>
    <col min="7953" max="8192" width="9.44166666666667" style="10"/>
    <col min="8193" max="8193" width="7.775" style="10" customWidth="1"/>
    <col min="8194" max="8194" width="23.775" style="10" customWidth="1"/>
    <col min="8195" max="8195" width="7" style="10" customWidth="1"/>
    <col min="8196" max="8197" width="12.2166666666667" style="10" customWidth="1"/>
    <col min="8198" max="8198" width="11.1083333333333" style="10" customWidth="1"/>
    <col min="8199" max="8200" width="16.4416666666667" style="10" customWidth="1"/>
    <col min="8201" max="8202" width="12.1083333333333" style="10" customWidth="1"/>
    <col min="8203" max="8204" width="16.4416666666667" style="10" customWidth="1"/>
    <col min="8205" max="8206" width="12.2166666666667" style="10" customWidth="1"/>
    <col min="8207" max="8207" width="14.5583333333333" style="10" customWidth="1"/>
    <col min="8208" max="8208" width="16.4416666666667" style="10" customWidth="1"/>
    <col min="8209" max="8448" width="9.44166666666667" style="10"/>
    <col min="8449" max="8449" width="7.775" style="10" customWidth="1"/>
    <col min="8450" max="8450" width="23.775" style="10" customWidth="1"/>
    <col min="8451" max="8451" width="7" style="10" customWidth="1"/>
    <col min="8452" max="8453" width="12.2166666666667" style="10" customWidth="1"/>
    <col min="8454" max="8454" width="11.1083333333333" style="10" customWidth="1"/>
    <col min="8455" max="8456" width="16.4416666666667" style="10" customWidth="1"/>
    <col min="8457" max="8458" width="12.1083333333333" style="10" customWidth="1"/>
    <col min="8459" max="8460" width="16.4416666666667" style="10" customWidth="1"/>
    <col min="8461" max="8462" width="12.2166666666667" style="10" customWidth="1"/>
    <col min="8463" max="8463" width="14.5583333333333" style="10" customWidth="1"/>
    <col min="8464" max="8464" width="16.4416666666667" style="10" customWidth="1"/>
    <col min="8465" max="8704" width="9.44166666666667" style="10"/>
    <col min="8705" max="8705" width="7.775" style="10" customWidth="1"/>
    <col min="8706" max="8706" width="23.775" style="10" customWidth="1"/>
    <col min="8707" max="8707" width="7" style="10" customWidth="1"/>
    <col min="8708" max="8709" width="12.2166666666667" style="10" customWidth="1"/>
    <col min="8710" max="8710" width="11.1083333333333" style="10" customWidth="1"/>
    <col min="8711" max="8712" width="16.4416666666667" style="10" customWidth="1"/>
    <col min="8713" max="8714" width="12.1083333333333" style="10" customWidth="1"/>
    <col min="8715" max="8716" width="16.4416666666667" style="10" customWidth="1"/>
    <col min="8717" max="8718" width="12.2166666666667" style="10" customWidth="1"/>
    <col min="8719" max="8719" width="14.5583333333333" style="10" customWidth="1"/>
    <col min="8720" max="8720" width="16.4416666666667" style="10" customWidth="1"/>
    <col min="8721" max="8960" width="9.44166666666667" style="10"/>
    <col min="8961" max="8961" width="7.775" style="10" customWidth="1"/>
    <col min="8962" max="8962" width="23.775" style="10" customWidth="1"/>
    <col min="8963" max="8963" width="7" style="10" customWidth="1"/>
    <col min="8964" max="8965" width="12.2166666666667" style="10" customWidth="1"/>
    <col min="8966" max="8966" width="11.1083333333333" style="10" customWidth="1"/>
    <col min="8967" max="8968" width="16.4416666666667" style="10" customWidth="1"/>
    <col min="8969" max="8970" width="12.1083333333333" style="10" customWidth="1"/>
    <col min="8971" max="8972" width="16.4416666666667" style="10" customWidth="1"/>
    <col min="8973" max="8974" width="12.2166666666667" style="10" customWidth="1"/>
    <col min="8975" max="8975" width="14.5583333333333" style="10" customWidth="1"/>
    <col min="8976" max="8976" width="16.4416666666667" style="10" customWidth="1"/>
    <col min="8977" max="9216" width="9.44166666666667" style="10"/>
    <col min="9217" max="9217" width="7.775" style="10" customWidth="1"/>
    <col min="9218" max="9218" width="23.775" style="10" customWidth="1"/>
    <col min="9219" max="9219" width="7" style="10" customWidth="1"/>
    <col min="9220" max="9221" width="12.2166666666667" style="10" customWidth="1"/>
    <col min="9222" max="9222" width="11.1083333333333" style="10" customWidth="1"/>
    <col min="9223" max="9224" width="16.4416666666667" style="10" customWidth="1"/>
    <col min="9225" max="9226" width="12.1083333333333" style="10" customWidth="1"/>
    <col min="9227" max="9228" width="16.4416666666667" style="10" customWidth="1"/>
    <col min="9229" max="9230" width="12.2166666666667" style="10" customWidth="1"/>
    <col min="9231" max="9231" width="14.5583333333333" style="10" customWidth="1"/>
    <col min="9232" max="9232" width="16.4416666666667" style="10" customWidth="1"/>
    <col min="9233" max="9472" width="9.44166666666667" style="10"/>
    <col min="9473" max="9473" width="7.775" style="10" customWidth="1"/>
    <col min="9474" max="9474" width="23.775" style="10" customWidth="1"/>
    <col min="9475" max="9475" width="7" style="10" customWidth="1"/>
    <col min="9476" max="9477" width="12.2166666666667" style="10" customWidth="1"/>
    <col min="9478" max="9478" width="11.1083333333333" style="10" customWidth="1"/>
    <col min="9479" max="9480" width="16.4416666666667" style="10" customWidth="1"/>
    <col min="9481" max="9482" width="12.1083333333333" style="10" customWidth="1"/>
    <col min="9483" max="9484" width="16.4416666666667" style="10" customWidth="1"/>
    <col min="9485" max="9486" width="12.2166666666667" style="10" customWidth="1"/>
    <col min="9487" max="9487" width="14.5583333333333" style="10" customWidth="1"/>
    <col min="9488" max="9488" width="16.4416666666667" style="10" customWidth="1"/>
    <col min="9489" max="9728" width="9.44166666666667" style="10"/>
    <col min="9729" max="9729" width="7.775" style="10" customWidth="1"/>
    <col min="9730" max="9730" width="23.775" style="10" customWidth="1"/>
    <col min="9731" max="9731" width="7" style="10" customWidth="1"/>
    <col min="9732" max="9733" width="12.2166666666667" style="10" customWidth="1"/>
    <col min="9734" max="9734" width="11.1083333333333" style="10" customWidth="1"/>
    <col min="9735" max="9736" width="16.4416666666667" style="10" customWidth="1"/>
    <col min="9737" max="9738" width="12.1083333333333" style="10" customWidth="1"/>
    <col min="9739" max="9740" width="16.4416666666667" style="10" customWidth="1"/>
    <col min="9741" max="9742" width="12.2166666666667" style="10" customWidth="1"/>
    <col min="9743" max="9743" width="14.5583333333333" style="10" customWidth="1"/>
    <col min="9744" max="9744" width="16.4416666666667" style="10" customWidth="1"/>
    <col min="9745" max="9984" width="9.44166666666667" style="10"/>
    <col min="9985" max="9985" width="7.775" style="10" customWidth="1"/>
    <col min="9986" max="9986" width="23.775" style="10" customWidth="1"/>
    <col min="9987" max="9987" width="7" style="10" customWidth="1"/>
    <col min="9988" max="9989" width="12.2166666666667" style="10" customWidth="1"/>
    <col min="9990" max="9990" width="11.1083333333333" style="10" customWidth="1"/>
    <col min="9991" max="9992" width="16.4416666666667" style="10" customWidth="1"/>
    <col min="9993" max="9994" width="12.1083333333333" style="10" customWidth="1"/>
    <col min="9995" max="9996" width="16.4416666666667" style="10" customWidth="1"/>
    <col min="9997" max="9998" width="12.2166666666667" style="10" customWidth="1"/>
    <col min="9999" max="9999" width="14.5583333333333" style="10" customWidth="1"/>
    <col min="10000" max="10000" width="16.4416666666667" style="10" customWidth="1"/>
    <col min="10001" max="10240" width="9.44166666666667" style="10"/>
    <col min="10241" max="10241" width="7.775" style="10" customWidth="1"/>
    <col min="10242" max="10242" width="23.775" style="10" customWidth="1"/>
    <col min="10243" max="10243" width="7" style="10" customWidth="1"/>
    <col min="10244" max="10245" width="12.2166666666667" style="10" customWidth="1"/>
    <col min="10246" max="10246" width="11.1083333333333" style="10" customWidth="1"/>
    <col min="10247" max="10248" width="16.4416666666667" style="10" customWidth="1"/>
    <col min="10249" max="10250" width="12.1083333333333" style="10" customWidth="1"/>
    <col min="10251" max="10252" width="16.4416666666667" style="10" customWidth="1"/>
    <col min="10253" max="10254" width="12.2166666666667" style="10" customWidth="1"/>
    <col min="10255" max="10255" width="14.5583333333333" style="10" customWidth="1"/>
    <col min="10256" max="10256" width="16.4416666666667" style="10" customWidth="1"/>
    <col min="10257" max="10496" width="9.44166666666667" style="10"/>
    <col min="10497" max="10497" width="7.775" style="10" customWidth="1"/>
    <col min="10498" max="10498" width="23.775" style="10" customWidth="1"/>
    <col min="10499" max="10499" width="7" style="10" customWidth="1"/>
    <col min="10500" max="10501" width="12.2166666666667" style="10" customWidth="1"/>
    <col min="10502" max="10502" width="11.1083333333333" style="10" customWidth="1"/>
    <col min="10503" max="10504" width="16.4416666666667" style="10" customWidth="1"/>
    <col min="10505" max="10506" width="12.1083333333333" style="10" customWidth="1"/>
    <col min="10507" max="10508" width="16.4416666666667" style="10" customWidth="1"/>
    <col min="10509" max="10510" width="12.2166666666667" style="10" customWidth="1"/>
    <col min="10511" max="10511" width="14.5583333333333" style="10" customWidth="1"/>
    <col min="10512" max="10512" width="16.4416666666667" style="10" customWidth="1"/>
    <col min="10513" max="10752" width="9.44166666666667" style="10"/>
    <col min="10753" max="10753" width="7.775" style="10" customWidth="1"/>
    <col min="10754" max="10754" width="23.775" style="10" customWidth="1"/>
    <col min="10755" max="10755" width="7" style="10" customWidth="1"/>
    <col min="10756" max="10757" width="12.2166666666667" style="10" customWidth="1"/>
    <col min="10758" max="10758" width="11.1083333333333" style="10" customWidth="1"/>
    <col min="10759" max="10760" width="16.4416666666667" style="10" customWidth="1"/>
    <col min="10761" max="10762" width="12.1083333333333" style="10" customWidth="1"/>
    <col min="10763" max="10764" width="16.4416666666667" style="10" customWidth="1"/>
    <col min="10765" max="10766" width="12.2166666666667" style="10" customWidth="1"/>
    <col min="10767" max="10767" width="14.5583333333333" style="10" customWidth="1"/>
    <col min="10768" max="10768" width="16.4416666666667" style="10" customWidth="1"/>
    <col min="10769" max="11008" width="9.44166666666667" style="10"/>
    <col min="11009" max="11009" width="7.775" style="10" customWidth="1"/>
    <col min="11010" max="11010" width="23.775" style="10" customWidth="1"/>
    <col min="11011" max="11011" width="7" style="10" customWidth="1"/>
    <col min="11012" max="11013" width="12.2166666666667" style="10" customWidth="1"/>
    <col min="11014" max="11014" width="11.1083333333333" style="10" customWidth="1"/>
    <col min="11015" max="11016" width="16.4416666666667" style="10" customWidth="1"/>
    <col min="11017" max="11018" width="12.1083333333333" style="10" customWidth="1"/>
    <col min="11019" max="11020" width="16.4416666666667" style="10" customWidth="1"/>
    <col min="11021" max="11022" width="12.2166666666667" style="10" customWidth="1"/>
    <col min="11023" max="11023" width="14.5583333333333" style="10" customWidth="1"/>
    <col min="11024" max="11024" width="16.4416666666667" style="10" customWidth="1"/>
    <col min="11025" max="11264" width="9.44166666666667" style="10"/>
    <col min="11265" max="11265" width="7.775" style="10" customWidth="1"/>
    <col min="11266" max="11266" width="23.775" style="10" customWidth="1"/>
    <col min="11267" max="11267" width="7" style="10" customWidth="1"/>
    <col min="11268" max="11269" width="12.2166666666667" style="10" customWidth="1"/>
    <col min="11270" max="11270" width="11.1083333333333" style="10" customWidth="1"/>
    <col min="11271" max="11272" width="16.4416666666667" style="10" customWidth="1"/>
    <col min="11273" max="11274" width="12.1083333333333" style="10" customWidth="1"/>
    <col min="11275" max="11276" width="16.4416666666667" style="10" customWidth="1"/>
    <col min="11277" max="11278" width="12.2166666666667" style="10" customWidth="1"/>
    <col min="11279" max="11279" width="14.5583333333333" style="10" customWidth="1"/>
    <col min="11280" max="11280" width="16.4416666666667" style="10" customWidth="1"/>
    <col min="11281" max="11520" width="9.44166666666667" style="10"/>
    <col min="11521" max="11521" width="7.775" style="10" customWidth="1"/>
    <col min="11522" max="11522" width="23.775" style="10" customWidth="1"/>
    <col min="11523" max="11523" width="7" style="10" customWidth="1"/>
    <col min="11524" max="11525" width="12.2166666666667" style="10" customWidth="1"/>
    <col min="11526" max="11526" width="11.1083333333333" style="10" customWidth="1"/>
    <col min="11527" max="11528" width="16.4416666666667" style="10" customWidth="1"/>
    <col min="11529" max="11530" width="12.1083333333333" style="10" customWidth="1"/>
    <col min="11531" max="11532" width="16.4416666666667" style="10" customWidth="1"/>
    <col min="11533" max="11534" width="12.2166666666667" style="10" customWidth="1"/>
    <col min="11535" max="11535" width="14.5583333333333" style="10" customWidth="1"/>
    <col min="11536" max="11536" width="16.4416666666667" style="10" customWidth="1"/>
    <col min="11537" max="11776" width="9.44166666666667" style="10"/>
    <col min="11777" max="11777" width="7.775" style="10" customWidth="1"/>
    <col min="11778" max="11778" width="23.775" style="10" customWidth="1"/>
    <col min="11779" max="11779" width="7" style="10" customWidth="1"/>
    <col min="11780" max="11781" width="12.2166666666667" style="10" customWidth="1"/>
    <col min="11782" max="11782" width="11.1083333333333" style="10" customWidth="1"/>
    <col min="11783" max="11784" width="16.4416666666667" style="10" customWidth="1"/>
    <col min="11785" max="11786" width="12.1083333333333" style="10" customWidth="1"/>
    <col min="11787" max="11788" width="16.4416666666667" style="10" customWidth="1"/>
    <col min="11789" max="11790" width="12.2166666666667" style="10" customWidth="1"/>
    <col min="11791" max="11791" width="14.5583333333333" style="10" customWidth="1"/>
    <col min="11792" max="11792" width="16.4416666666667" style="10" customWidth="1"/>
    <col min="11793" max="12032" width="9.44166666666667" style="10"/>
    <col min="12033" max="12033" width="7.775" style="10" customWidth="1"/>
    <col min="12034" max="12034" width="23.775" style="10" customWidth="1"/>
    <col min="12035" max="12035" width="7" style="10" customWidth="1"/>
    <col min="12036" max="12037" width="12.2166666666667" style="10" customWidth="1"/>
    <col min="12038" max="12038" width="11.1083333333333" style="10" customWidth="1"/>
    <col min="12039" max="12040" width="16.4416666666667" style="10" customWidth="1"/>
    <col min="12041" max="12042" width="12.1083333333333" style="10" customWidth="1"/>
    <col min="12043" max="12044" width="16.4416666666667" style="10" customWidth="1"/>
    <col min="12045" max="12046" width="12.2166666666667" style="10" customWidth="1"/>
    <col min="12047" max="12047" width="14.5583333333333" style="10" customWidth="1"/>
    <col min="12048" max="12048" width="16.4416666666667" style="10" customWidth="1"/>
    <col min="12049" max="12288" width="9.44166666666667" style="10"/>
    <col min="12289" max="12289" width="7.775" style="10" customWidth="1"/>
    <col min="12290" max="12290" width="23.775" style="10" customWidth="1"/>
    <col min="12291" max="12291" width="7" style="10" customWidth="1"/>
    <col min="12292" max="12293" width="12.2166666666667" style="10" customWidth="1"/>
    <col min="12294" max="12294" width="11.1083333333333" style="10" customWidth="1"/>
    <col min="12295" max="12296" width="16.4416666666667" style="10" customWidth="1"/>
    <col min="12297" max="12298" width="12.1083333333333" style="10" customWidth="1"/>
    <col min="12299" max="12300" width="16.4416666666667" style="10" customWidth="1"/>
    <col min="12301" max="12302" width="12.2166666666667" style="10" customWidth="1"/>
    <col min="12303" max="12303" width="14.5583333333333" style="10" customWidth="1"/>
    <col min="12304" max="12304" width="16.4416666666667" style="10" customWidth="1"/>
    <col min="12305" max="12544" width="9.44166666666667" style="10"/>
    <col min="12545" max="12545" width="7.775" style="10" customWidth="1"/>
    <col min="12546" max="12546" width="23.775" style="10" customWidth="1"/>
    <col min="12547" max="12547" width="7" style="10" customWidth="1"/>
    <col min="12548" max="12549" width="12.2166666666667" style="10" customWidth="1"/>
    <col min="12550" max="12550" width="11.1083333333333" style="10" customWidth="1"/>
    <col min="12551" max="12552" width="16.4416666666667" style="10" customWidth="1"/>
    <col min="12553" max="12554" width="12.1083333333333" style="10" customWidth="1"/>
    <col min="12555" max="12556" width="16.4416666666667" style="10" customWidth="1"/>
    <col min="12557" max="12558" width="12.2166666666667" style="10" customWidth="1"/>
    <col min="12559" max="12559" width="14.5583333333333" style="10" customWidth="1"/>
    <col min="12560" max="12560" width="16.4416666666667" style="10" customWidth="1"/>
    <col min="12561" max="12800" width="9.44166666666667" style="10"/>
    <col min="12801" max="12801" width="7.775" style="10" customWidth="1"/>
    <col min="12802" max="12802" width="23.775" style="10" customWidth="1"/>
    <col min="12803" max="12803" width="7" style="10" customWidth="1"/>
    <col min="12804" max="12805" width="12.2166666666667" style="10" customWidth="1"/>
    <col min="12806" max="12806" width="11.1083333333333" style="10" customWidth="1"/>
    <col min="12807" max="12808" width="16.4416666666667" style="10" customWidth="1"/>
    <col min="12809" max="12810" width="12.1083333333333" style="10" customWidth="1"/>
    <col min="12811" max="12812" width="16.4416666666667" style="10" customWidth="1"/>
    <col min="12813" max="12814" width="12.2166666666667" style="10" customWidth="1"/>
    <col min="12815" max="12815" width="14.5583333333333" style="10" customWidth="1"/>
    <col min="12816" max="12816" width="16.4416666666667" style="10" customWidth="1"/>
    <col min="12817" max="13056" width="9.44166666666667" style="10"/>
    <col min="13057" max="13057" width="7.775" style="10" customWidth="1"/>
    <col min="13058" max="13058" width="23.775" style="10" customWidth="1"/>
    <col min="13059" max="13059" width="7" style="10" customWidth="1"/>
    <col min="13060" max="13061" width="12.2166666666667" style="10" customWidth="1"/>
    <col min="13062" max="13062" width="11.1083333333333" style="10" customWidth="1"/>
    <col min="13063" max="13064" width="16.4416666666667" style="10" customWidth="1"/>
    <col min="13065" max="13066" width="12.1083333333333" style="10" customWidth="1"/>
    <col min="13067" max="13068" width="16.4416666666667" style="10" customWidth="1"/>
    <col min="13069" max="13070" width="12.2166666666667" style="10" customWidth="1"/>
    <col min="13071" max="13071" width="14.5583333333333" style="10" customWidth="1"/>
    <col min="13072" max="13072" width="16.4416666666667" style="10" customWidth="1"/>
    <col min="13073" max="13312" width="9.44166666666667" style="10"/>
    <col min="13313" max="13313" width="7.775" style="10" customWidth="1"/>
    <col min="13314" max="13314" width="23.775" style="10" customWidth="1"/>
    <col min="13315" max="13315" width="7" style="10" customWidth="1"/>
    <col min="13316" max="13317" width="12.2166666666667" style="10" customWidth="1"/>
    <col min="13318" max="13318" width="11.1083333333333" style="10" customWidth="1"/>
    <col min="13319" max="13320" width="16.4416666666667" style="10" customWidth="1"/>
    <col min="13321" max="13322" width="12.1083333333333" style="10" customWidth="1"/>
    <col min="13323" max="13324" width="16.4416666666667" style="10" customWidth="1"/>
    <col min="13325" max="13326" width="12.2166666666667" style="10" customWidth="1"/>
    <col min="13327" max="13327" width="14.5583333333333" style="10" customWidth="1"/>
    <col min="13328" max="13328" width="16.4416666666667" style="10" customWidth="1"/>
    <col min="13329" max="13568" width="9.44166666666667" style="10"/>
    <col min="13569" max="13569" width="7.775" style="10" customWidth="1"/>
    <col min="13570" max="13570" width="23.775" style="10" customWidth="1"/>
    <col min="13571" max="13571" width="7" style="10" customWidth="1"/>
    <col min="13572" max="13573" width="12.2166666666667" style="10" customWidth="1"/>
    <col min="13574" max="13574" width="11.1083333333333" style="10" customWidth="1"/>
    <col min="13575" max="13576" width="16.4416666666667" style="10" customWidth="1"/>
    <col min="13577" max="13578" width="12.1083333333333" style="10" customWidth="1"/>
    <col min="13579" max="13580" width="16.4416666666667" style="10" customWidth="1"/>
    <col min="13581" max="13582" width="12.2166666666667" style="10" customWidth="1"/>
    <col min="13583" max="13583" width="14.5583333333333" style="10" customWidth="1"/>
    <col min="13584" max="13584" width="16.4416666666667" style="10" customWidth="1"/>
    <col min="13585" max="13824" width="9.44166666666667" style="10"/>
    <col min="13825" max="13825" width="7.775" style="10" customWidth="1"/>
    <col min="13826" max="13826" width="23.775" style="10" customWidth="1"/>
    <col min="13827" max="13827" width="7" style="10" customWidth="1"/>
    <col min="13828" max="13829" width="12.2166666666667" style="10" customWidth="1"/>
    <col min="13830" max="13830" width="11.1083333333333" style="10" customWidth="1"/>
    <col min="13831" max="13832" width="16.4416666666667" style="10" customWidth="1"/>
    <col min="13833" max="13834" width="12.1083333333333" style="10" customWidth="1"/>
    <col min="13835" max="13836" width="16.4416666666667" style="10" customWidth="1"/>
    <col min="13837" max="13838" width="12.2166666666667" style="10" customWidth="1"/>
    <col min="13839" max="13839" width="14.5583333333333" style="10" customWidth="1"/>
    <col min="13840" max="13840" width="16.4416666666667" style="10" customWidth="1"/>
    <col min="13841" max="14080" width="9.44166666666667" style="10"/>
    <col min="14081" max="14081" width="7.775" style="10" customWidth="1"/>
    <col min="14082" max="14082" width="23.775" style="10" customWidth="1"/>
    <col min="14083" max="14083" width="7" style="10" customWidth="1"/>
    <col min="14084" max="14085" width="12.2166666666667" style="10" customWidth="1"/>
    <col min="14086" max="14086" width="11.1083333333333" style="10" customWidth="1"/>
    <col min="14087" max="14088" width="16.4416666666667" style="10" customWidth="1"/>
    <col min="14089" max="14090" width="12.1083333333333" style="10" customWidth="1"/>
    <col min="14091" max="14092" width="16.4416666666667" style="10" customWidth="1"/>
    <col min="14093" max="14094" width="12.2166666666667" style="10" customWidth="1"/>
    <col min="14095" max="14095" width="14.5583333333333" style="10" customWidth="1"/>
    <col min="14096" max="14096" width="16.4416666666667" style="10" customWidth="1"/>
    <col min="14097" max="14336" width="9.44166666666667" style="10"/>
    <col min="14337" max="14337" width="7.775" style="10" customWidth="1"/>
    <col min="14338" max="14338" width="23.775" style="10" customWidth="1"/>
    <col min="14339" max="14339" width="7" style="10" customWidth="1"/>
    <col min="14340" max="14341" width="12.2166666666667" style="10" customWidth="1"/>
    <col min="14342" max="14342" width="11.1083333333333" style="10" customWidth="1"/>
    <col min="14343" max="14344" width="16.4416666666667" style="10" customWidth="1"/>
    <col min="14345" max="14346" width="12.1083333333333" style="10" customWidth="1"/>
    <col min="14347" max="14348" width="16.4416666666667" style="10" customWidth="1"/>
    <col min="14349" max="14350" width="12.2166666666667" style="10" customWidth="1"/>
    <col min="14351" max="14351" width="14.5583333333333" style="10" customWidth="1"/>
    <col min="14352" max="14352" width="16.4416666666667" style="10" customWidth="1"/>
    <col min="14353" max="14592" width="9.44166666666667" style="10"/>
    <col min="14593" max="14593" width="7.775" style="10" customWidth="1"/>
    <col min="14594" max="14594" width="23.775" style="10" customWidth="1"/>
    <col min="14595" max="14595" width="7" style="10" customWidth="1"/>
    <col min="14596" max="14597" width="12.2166666666667" style="10" customWidth="1"/>
    <col min="14598" max="14598" width="11.1083333333333" style="10" customWidth="1"/>
    <col min="14599" max="14600" width="16.4416666666667" style="10" customWidth="1"/>
    <col min="14601" max="14602" width="12.1083333333333" style="10" customWidth="1"/>
    <col min="14603" max="14604" width="16.4416666666667" style="10" customWidth="1"/>
    <col min="14605" max="14606" width="12.2166666666667" style="10" customWidth="1"/>
    <col min="14607" max="14607" width="14.5583333333333" style="10" customWidth="1"/>
    <col min="14608" max="14608" width="16.4416666666667" style="10" customWidth="1"/>
    <col min="14609" max="14848" width="9.44166666666667" style="10"/>
    <col min="14849" max="14849" width="7.775" style="10" customWidth="1"/>
    <col min="14850" max="14850" width="23.775" style="10" customWidth="1"/>
    <col min="14851" max="14851" width="7" style="10" customWidth="1"/>
    <col min="14852" max="14853" width="12.2166666666667" style="10" customWidth="1"/>
    <col min="14854" max="14854" width="11.1083333333333" style="10" customWidth="1"/>
    <col min="14855" max="14856" width="16.4416666666667" style="10" customWidth="1"/>
    <col min="14857" max="14858" width="12.1083333333333" style="10" customWidth="1"/>
    <col min="14859" max="14860" width="16.4416666666667" style="10" customWidth="1"/>
    <col min="14861" max="14862" width="12.2166666666667" style="10" customWidth="1"/>
    <col min="14863" max="14863" width="14.5583333333333" style="10" customWidth="1"/>
    <col min="14864" max="14864" width="16.4416666666667" style="10" customWidth="1"/>
    <col min="14865" max="15104" width="9.44166666666667" style="10"/>
    <col min="15105" max="15105" width="7.775" style="10" customWidth="1"/>
    <col min="15106" max="15106" width="23.775" style="10" customWidth="1"/>
    <col min="15107" max="15107" width="7" style="10" customWidth="1"/>
    <col min="15108" max="15109" width="12.2166666666667" style="10" customWidth="1"/>
    <col min="15110" max="15110" width="11.1083333333333" style="10" customWidth="1"/>
    <col min="15111" max="15112" width="16.4416666666667" style="10" customWidth="1"/>
    <col min="15113" max="15114" width="12.1083333333333" style="10" customWidth="1"/>
    <col min="15115" max="15116" width="16.4416666666667" style="10" customWidth="1"/>
    <col min="15117" max="15118" width="12.2166666666667" style="10" customWidth="1"/>
    <col min="15119" max="15119" width="14.5583333333333" style="10" customWidth="1"/>
    <col min="15120" max="15120" width="16.4416666666667" style="10" customWidth="1"/>
    <col min="15121" max="15360" width="9.44166666666667" style="10"/>
    <col min="15361" max="15361" width="7.775" style="10" customWidth="1"/>
    <col min="15362" max="15362" width="23.775" style="10" customWidth="1"/>
    <col min="15363" max="15363" width="7" style="10" customWidth="1"/>
    <col min="15364" max="15365" width="12.2166666666667" style="10" customWidth="1"/>
    <col min="15366" max="15366" width="11.1083333333333" style="10" customWidth="1"/>
    <col min="15367" max="15368" width="16.4416666666667" style="10" customWidth="1"/>
    <col min="15369" max="15370" width="12.1083333333333" style="10" customWidth="1"/>
    <col min="15371" max="15372" width="16.4416666666667" style="10" customWidth="1"/>
    <col min="15373" max="15374" width="12.2166666666667" style="10" customWidth="1"/>
    <col min="15375" max="15375" width="14.5583333333333" style="10" customWidth="1"/>
    <col min="15376" max="15376" width="16.4416666666667" style="10" customWidth="1"/>
    <col min="15377" max="15616" width="9.44166666666667" style="10"/>
    <col min="15617" max="15617" width="7.775" style="10" customWidth="1"/>
    <col min="15618" max="15618" width="23.775" style="10" customWidth="1"/>
    <col min="15619" max="15619" width="7" style="10" customWidth="1"/>
    <col min="15620" max="15621" width="12.2166666666667" style="10" customWidth="1"/>
    <col min="15622" max="15622" width="11.1083333333333" style="10" customWidth="1"/>
    <col min="15623" max="15624" width="16.4416666666667" style="10" customWidth="1"/>
    <col min="15625" max="15626" width="12.1083333333333" style="10" customWidth="1"/>
    <col min="15627" max="15628" width="16.4416666666667" style="10" customWidth="1"/>
    <col min="15629" max="15630" width="12.2166666666667" style="10" customWidth="1"/>
    <col min="15631" max="15631" width="14.5583333333333" style="10" customWidth="1"/>
    <col min="15632" max="15632" width="16.4416666666667" style="10" customWidth="1"/>
    <col min="15633" max="15872" width="9.44166666666667" style="10"/>
    <col min="15873" max="15873" width="7.775" style="10" customWidth="1"/>
    <col min="15874" max="15874" width="23.775" style="10" customWidth="1"/>
    <col min="15875" max="15875" width="7" style="10" customWidth="1"/>
    <col min="15876" max="15877" width="12.2166666666667" style="10" customWidth="1"/>
    <col min="15878" max="15878" width="11.1083333333333" style="10" customWidth="1"/>
    <col min="15879" max="15880" width="16.4416666666667" style="10" customWidth="1"/>
    <col min="15881" max="15882" width="12.1083333333333" style="10" customWidth="1"/>
    <col min="15883" max="15884" width="16.4416666666667" style="10" customWidth="1"/>
    <col min="15885" max="15886" width="12.2166666666667" style="10" customWidth="1"/>
    <col min="15887" max="15887" width="14.5583333333333" style="10" customWidth="1"/>
    <col min="15888" max="15888" width="16.4416666666667" style="10" customWidth="1"/>
    <col min="15889" max="16128" width="9.44166666666667" style="10"/>
    <col min="16129" max="16129" width="7.775" style="10" customWidth="1"/>
    <col min="16130" max="16130" width="23.775" style="10" customWidth="1"/>
    <col min="16131" max="16131" width="7" style="10" customWidth="1"/>
    <col min="16132" max="16133" width="12.2166666666667" style="10" customWidth="1"/>
    <col min="16134" max="16134" width="11.1083333333333" style="10" customWidth="1"/>
    <col min="16135" max="16136" width="16.4416666666667" style="10" customWidth="1"/>
    <col min="16137" max="16138" width="12.1083333333333" style="10" customWidth="1"/>
    <col min="16139" max="16140" width="16.4416666666667" style="10" customWidth="1"/>
    <col min="16141" max="16142" width="12.2166666666667" style="10" customWidth="1"/>
    <col min="16143" max="16143" width="14.5583333333333" style="10" customWidth="1"/>
    <col min="16144" max="16144" width="16.4416666666667" style="10" customWidth="1"/>
    <col min="16145" max="16384" width="9.44166666666667" style="10"/>
  </cols>
  <sheetData>
    <row r="1" s="1" customFormat="1" ht="45" customHeight="1" spans="1:16">
      <c r="A1" s="11" t="s">
        <v>169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="2" customFormat="1" ht="20.1" customHeight="1" spans="1:17">
      <c r="A2" s="12" t="s">
        <v>170</v>
      </c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44"/>
    </row>
    <row r="3" s="3" customFormat="1" ht="30" customHeight="1" spans="1:16">
      <c r="A3" s="15" t="s">
        <v>4</v>
      </c>
      <c r="B3" s="16" t="s">
        <v>171</v>
      </c>
      <c r="C3" s="17" t="s">
        <v>6</v>
      </c>
      <c r="D3" s="18" t="s">
        <v>62</v>
      </c>
      <c r="E3" s="19" t="s">
        <v>172</v>
      </c>
      <c r="F3" s="20"/>
      <c r="G3" s="20"/>
      <c r="H3" s="21"/>
      <c r="I3" s="39" t="s">
        <v>173</v>
      </c>
      <c r="J3" s="40"/>
      <c r="K3" s="40"/>
      <c r="L3" s="41"/>
      <c r="M3" s="39" t="s">
        <v>174</v>
      </c>
      <c r="N3" s="41"/>
      <c r="O3" s="42" t="s">
        <v>175</v>
      </c>
      <c r="P3" s="16" t="s">
        <v>176</v>
      </c>
    </row>
    <row r="4" s="3" customFormat="1" ht="30" customHeight="1" spans="1:16">
      <c r="A4" s="22"/>
      <c r="B4" s="16"/>
      <c r="C4" s="17"/>
      <c r="D4" s="23"/>
      <c r="E4" s="17" t="s">
        <v>177</v>
      </c>
      <c r="F4" s="17" t="s">
        <v>178</v>
      </c>
      <c r="G4" s="17" t="s">
        <v>179</v>
      </c>
      <c r="H4" s="17" t="s">
        <v>180</v>
      </c>
      <c r="I4" s="39" t="s">
        <v>177</v>
      </c>
      <c r="J4" s="39" t="s">
        <v>178</v>
      </c>
      <c r="K4" s="17" t="s">
        <v>179</v>
      </c>
      <c r="L4" s="17" t="s">
        <v>180</v>
      </c>
      <c r="M4" s="39" t="s">
        <v>177</v>
      </c>
      <c r="N4" s="39" t="s">
        <v>178</v>
      </c>
      <c r="O4" s="39" t="s">
        <v>181</v>
      </c>
      <c r="P4" s="17"/>
    </row>
    <row r="5" s="3" customFormat="1" ht="30" customHeight="1" spans="1:16">
      <c r="A5" s="24"/>
      <c r="B5" s="16"/>
      <c r="C5" s="17"/>
      <c r="D5" s="25"/>
      <c r="E5" s="16" t="s">
        <v>182</v>
      </c>
      <c r="F5" s="16" t="s">
        <v>183</v>
      </c>
      <c r="G5" s="16" t="s">
        <v>184</v>
      </c>
      <c r="H5" s="16" t="s">
        <v>185</v>
      </c>
      <c r="I5" s="16" t="s">
        <v>186</v>
      </c>
      <c r="J5" s="16" t="s">
        <v>187</v>
      </c>
      <c r="K5" s="16" t="s">
        <v>188</v>
      </c>
      <c r="L5" s="16" t="s">
        <v>189</v>
      </c>
      <c r="M5" s="16" t="s">
        <v>190</v>
      </c>
      <c r="N5" s="16" t="s">
        <v>190</v>
      </c>
      <c r="O5" s="16" t="s">
        <v>191</v>
      </c>
      <c r="P5" s="17"/>
    </row>
    <row r="6" s="4" customFormat="1" ht="24" customHeight="1" spans="1:16">
      <c r="A6" s="26" t="s">
        <v>14</v>
      </c>
      <c r="B6" s="27" t="str">
        <f>结算审核表!B6</f>
        <v>楂口石梁蓄水池工程</v>
      </c>
      <c r="C6" s="28"/>
      <c r="D6" s="28"/>
      <c r="E6" s="28"/>
      <c r="F6" s="29"/>
      <c r="G6" s="29"/>
      <c r="H6" s="29"/>
      <c r="I6" s="28"/>
      <c r="J6" s="29"/>
      <c r="K6" s="29"/>
      <c r="L6" s="29"/>
      <c r="M6" s="28"/>
      <c r="N6" s="29"/>
      <c r="O6" s="29"/>
      <c r="P6" s="29"/>
    </row>
    <row r="7" s="4" customFormat="1" ht="24" customHeight="1" spans="1:16">
      <c r="A7" s="30">
        <v>1</v>
      </c>
      <c r="B7" s="31" t="s">
        <v>192</v>
      </c>
      <c r="C7" s="32" t="s">
        <v>68</v>
      </c>
      <c r="D7" s="32">
        <v>0</v>
      </c>
      <c r="E7" s="32">
        <f>D7*0.289</f>
        <v>0</v>
      </c>
      <c r="F7" s="33"/>
      <c r="G7" s="33" t="s">
        <v>193</v>
      </c>
      <c r="H7" s="33" t="s">
        <v>193</v>
      </c>
      <c r="I7" s="32">
        <f>D7*0.49</f>
        <v>0</v>
      </c>
      <c r="J7" s="33"/>
      <c r="K7" s="33" t="s">
        <v>193</v>
      </c>
      <c r="L7" s="33" t="s">
        <v>193</v>
      </c>
      <c r="M7" s="32">
        <f>D7*0.81</f>
        <v>0</v>
      </c>
      <c r="N7" s="33"/>
      <c r="O7" s="33" t="s">
        <v>193</v>
      </c>
      <c r="P7" s="33" t="s">
        <v>193</v>
      </c>
    </row>
    <row r="8" s="4" customFormat="1" ht="24" customHeight="1" spans="1:16">
      <c r="A8" s="30">
        <v>2</v>
      </c>
      <c r="B8" s="31" t="s">
        <v>194</v>
      </c>
      <c r="C8" s="32" t="s">
        <v>68</v>
      </c>
      <c r="D8" s="32">
        <f>结算审核表!J10</f>
        <v>22.65</v>
      </c>
      <c r="E8" s="32"/>
      <c r="F8" s="33">
        <f>D8*0.31</f>
        <v>7.0215</v>
      </c>
      <c r="G8" s="33" t="s">
        <v>193</v>
      </c>
      <c r="H8" s="33" t="s">
        <v>193</v>
      </c>
      <c r="I8" s="32"/>
      <c r="J8" s="33">
        <f>D8*0.47</f>
        <v>10.6455</v>
      </c>
      <c r="K8" s="33" t="s">
        <v>193</v>
      </c>
      <c r="L8" s="33" t="s">
        <v>193</v>
      </c>
      <c r="M8" s="32"/>
      <c r="N8" s="33">
        <f>D8*0.81</f>
        <v>18.3465</v>
      </c>
      <c r="O8" s="33" t="s">
        <v>193</v>
      </c>
      <c r="P8" s="33" t="s">
        <v>193</v>
      </c>
    </row>
    <row r="9" s="4" customFormat="1" ht="24" customHeight="1" spans="1:16">
      <c r="A9" s="30">
        <v>3</v>
      </c>
      <c r="B9" s="31" t="str">
        <f>[1]工程造价!B14</f>
        <v>m7.5砌砖</v>
      </c>
      <c r="C9" s="32" t="s">
        <v>68</v>
      </c>
      <c r="D9" s="32">
        <f>结算审核表!J11</f>
        <v>28.67</v>
      </c>
      <c r="E9" s="33" t="s">
        <v>193</v>
      </c>
      <c r="F9" s="33" t="s">
        <v>193</v>
      </c>
      <c r="G9" s="29">
        <f>D9*0.23*0.261</f>
        <v>1.7210601</v>
      </c>
      <c r="H9" s="33" t="s">
        <v>193</v>
      </c>
      <c r="I9" s="33" t="s">
        <v>193</v>
      </c>
      <c r="J9" s="33" t="s">
        <v>193</v>
      </c>
      <c r="K9" s="29">
        <f>D9*0.23*1.11</f>
        <v>7.319451</v>
      </c>
      <c r="L9" s="33" t="s">
        <v>193</v>
      </c>
      <c r="M9" s="33" t="s">
        <v>193</v>
      </c>
      <c r="N9" s="33" t="s">
        <v>193</v>
      </c>
      <c r="O9" s="43">
        <f>D9*534/1000</f>
        <v>15.30978</v>
      </c>
      <c r="P9" s="33" t="s">
        <v>193</v>
      </c>
    </row>
    <row r="10" s="4" customFormat="1" ht="24" customHeight="1" spans="1:16">
      <c r="A10" s="30">
        <v>4</v>
      </c>
      <c r="B10" s="31" t="str">
        <f>[2]结算表!B127</f>
        <v>钢筋制安</v>
      </c>
      <c r="C10" s="32" t="s">
        <v>94</v>
      </c>
      <c r="D10" s="33">
        <f>结算审核表!J13/1000</f>
        <v>2.31301</v>
      </c>
      <c r="E10" s="33" t="s">
        <v>193</v>
      </c>
      <c r="F10" s="33" t="s">
        <v>193</v>
      </c>
      <c r="G10" s="33" t="s">
        <v>193</v>
      </c>
      <c r="H10" s="33" t="s">
        <v>193</v>
      </c>
      <c r="I10" s="33" t="s">
        <v>193</v>
      </c>
      <c r="J10" s="33" t="s">
        <v>193</v>
      </c>
      <c r="K10" s="33" t="s">
        <v>193</v>
      </c>
      <c r="L10" s="33" t="s">
        <v>193</v>
      </c>
      <c r="M10" s="33" t="s">
        <v>193</v>
      </c>
      <c r="N10" s="33" t="s">
        <v>193</v>
      </c>
      <c r="O10" s="33" t="s">
        <v>193</v>
      </c>
      <c r="P10" s="29">
        <f>D10</f>
        <v>2.31301</v>
      </c>
    </row>
    <row r="11" s="4" customFormat="1" ht="24" customHeight="1" spans="1:16">
      <c r="A11" s="30">
        <v>5</v>
      </c>
      <c r="B11" s="31" t="str">
        <f>[2]结算表!B129</f>
        <v>M10砂浆抹面</v>
      </c>
      <c r="C11" s="32" t="s">
        <v>74</v>
      </c>
      <c r="D11" s="32">
        <f>结算审核表!J14</f>
        <v>245.67</v>
      </c>
      <c r="E11" s="33" t="s">
        <v>193</v>
      </c>
      <c r="F11" s="33" t="s">
        <v>193</v>
      </c>
      <c r="G11" s="33" t="s">
        <v>193</v>
      </c>
      <c r="H11" s="29">
        <f>D11*0.023*0.305</f>
        <v>1.72337505</v>
      </c>
      <c r="I11" s="33" t="s">
        <v>193</v>
      </c>
      <c r="J11" s="33" t="s">
        <v>193</v>
      </c>
      <c r="K11" s="33" t="s">
        <v>193</v>
      </c>
      <c r="L11" s="29">
        <f>D11*0.023*1.1</f>
        <v>6.215451</v>
      </c>
      <c r="M11" s="33" t="s">
        <v>193</v>
      </c>
      <c r="N11" s="33" t="s">
        <v>193</v>
      </c>
      <c r="O11" s="33" t="s">
        <v>193</v>
      </c>
      <c r="P11" s="33" t="s">
        <v>193</v>
      </c>
    </row>
    <row r="12" s="5" customFormat="1" ht="24" customHeight="1" spans="1:16">
      <c r="A12" s="34"/>
      <c r="B12" s="35" t="s">
        <v>195</v>
      </c>
      <c r="C12" s="34"/>
      <c r="D12" s="34"/>
      <c r="E12" s="34">
        <f>SUM(E7:E11)</f>
        <v>0</v>
      </c>
      <c r="F12" s="34">
        <f t="shared" ref="F12:P12" si="0">SUM(F7:F11)</f>
        <v>7.0215</v>
      </c>
      <c r="G12" s="34">
        <f t="shared" si="0"/>
        <v>1.7210601</v>
      </c>
      <c r="H12" s="34">
        <f t="shared" si="0"/>
        <v>1.72337505</v>
      </c>
      <c r="I12" s="34">
        <f t="shared" si="0"/>
        <v>0</v>
      </c>
      <c r="J12" s="34">
        <f t="shared" si="0"/>
        <v>10.6455</v>
      </c>
      <c r="K12" s="34">
        <f t="shared" si="0"/>
        <v>7.319451</v>
      </c>
      <c r="L12" s="34">
        <f t="shared" si="0"/>
        <v>6.215451</v>
      </c>
      <c r="M12" s="34">
        <f t="shared" si="0"/>
        <v>0</v>
      </c>
      <c r="N12" s="34">
        <f t="shared" si="0"/>
        <v>18.3465</v>
      </c>
      <c r="O12" s="34">
        <f t="shared" si="0"/>
        <v>15.30978</v>
      </c>
      <c r="P12" s="34">
        <f t="shared" si="0"/>
        <v>2.31301</v>
      </c>
    </row>
    <row r="13" s="4" customFormat="1" ht="24" customHeight="1" spans="1:16">
      <c r="A13" s="26" t="s">
        <v>16</v>
      </c>
      <c r="B13" s="27" t="str">
        <f>结算审核表!B28</f>
        <v>闸阀房</v>
      </c>
      <c r="C13" s="28"/>
      <c r="D13" s="28"/>
      <c r="E13" s="28"/>
      <c r="F13" s="29"/>
      <c r="G13" s="29"/>
      <c r="H13" s="29"/>
      <c r="I13" s="28"/>
      <c r="J13" s="29"/>
      <c r="K13" s="29"/>
      <c r="L13" s="29"/>
      <c r="M13" s="28"/>
      <c r="N13" s="29"/>
      <c r="O13" s="29"/>
      <c r="P13" s="29"/>
    </row>
    <row r="14" s="4" customFormat="1" ht="24" customHeight="1" spans="1:16">
      <c r="A14" s="30">
        <v>1</v>
      </c>
      <c r="B14" s="31" t="s">
        <v>192</v>
      </c>
      <c r="C14" s="32" t="s">
        <v>68</v>
      </c>
      <c r="D14" s="32">
        <v>0</v>
      </c>
      <c r="E14" s="32">
        <f>D14*0.289</f>
        <v>0</v>
      </c>
      <c r="F14" s="33"/>
      <c r="G14" s="33" t="s">
        <v>193</v>
      </c>
      <c r="H14" s="33" t="s">
        <v>193</v>
      </c>
      <c r="I14" s="32">
        <f>D14*0.49</f>
        <v>0</v>
      </c>
      <c r="J14" s="33"/>
      <c r="K14" s="33" t="s">
        <v>193</v>
      </c>
      <c r="L14" s="33" t="s">
        <v>193</v>
      </c>
      <c r="M14" s="32">
        <f>D14*0.81</f>
        <v>0</v>
      </c>
      <c r="N14" s="33"/>
      <c r="O14" s="33" t="s">
        <v>193</v>
      </c>
      <c r="P14" s="33" t="s">
        <v>193</v>
      </c>
    </row>
    <row r="15" s="4" customFormat="1" ht="24" customHeight="1" spans="1:16">
      <c r="A15" s="30">
        <v>2</v>
      </c>
      <c r="B15" s="31" t="s">
        <v>194</v>
      </c>
      <c r="C15" s="32" t="s">
        <v>68</v>
      </c>
      <c r="D15" s="32">
        <f>结算审核表!J30</f>
        <v>3.52</v>
      </c>
      <c r="E15" s="32"/>
      <c r="F15" s="33">
        <f>D15*0.31</f>
        <v>1.0912</v>
      </c>
      <c r="G15" s="33" t="s">
        <v>193</v>
      </c>
      <c r="H15" s="33" t="s">
        <v>193</v>
      </c>
      <c r="I15" s="32"/>
      <c r="J15" s="33">
        <f>D15*0.47</f>
        <v>1.6544</v>
      </c>
      <c r="K15" s="33" t="s">
        <v>193</v>
      </c>
      <c r="L15" s="33" t="s">
        <v>193</v>
      </c>
      <c r="M15" s="32"/>
      <c r="N15" s="33">
        <f>D15*0.81</f>
        <v>2.8512</v>
      </c>
      <c r="O15" s="33" t="s">
        <v>193</v>
      </c>
      <c r="P15" s="33" t="s">
        <v>193</v>
      </c>
    </row>
    <row r="16" s="4" customFormat="1" ht="24" customHeight="1" spans="1:16">
      <c r="A16" s="30">
        <v>3</v>
      </c>
      <c r="B16" s="31" t="s">
        <v>72</v>
      </c>
      <c r="C16" s="32" t="s">
        <v>68</v>
      </c>
      <c r="D16" s="32">
        <f>结算审核表!J31</f>
        <v>2.35</v>
      </c>
      <c r="E16" s="33" t="s">
        <v>193</v>
      </c>
      <c r="F16" s="33" t="s">
        <v>193</v>
      </c>
      <c r="G16" s="29">
        <f>D16*0.23*0.261</f>
        <v>0.1410705</v>
      </c>
      <c r="H16" s="33" t="s">
        <v>193</v>
      </c>
      <c r="I16" s="33" t="s">
        <v>193</v>
      </c>
      <c r="J16" s="33" t="s">
        <v>193</v>
      </c>
      <c r="K16" s="29">
        <f>D16*0.23*1.11</f>
        <v>0.599955</v>
      </c>
      <c r="L16" s="33" t="s">
        <v>193</v>
      </c>
      <c r="M16" s="33" t="s">
        <v>193</v>
      </c>
      <c r="N16" s="33" t="s">
        <v>193</v>
      </c>
      <c r="O16" s="43">
        <f>D16*534/1000</f>
        <v>1.2549</v>
      </c>
      <c r="P16" s="33" t="s">
        <v>193</v>
      </c>
    </row>
    <row r="17" s="4" customFormat="1" ht="24" customHeight="1" spans="1:16">
      <c r="A17" s="30">
        <v>4</v>
      </c>
      <c r="B17" s="31" t="s">
        <v>75</v>
      </c>
      <c r="C17" s="32" t="s">
        <v>94</v>
      </c>
      <c r="D17" s="33">
        <f>结算审核表!J32/1000</f>
        <v>0.27065</v>
      </c>
      <c r="E17" s="33" t="s">
        <v>193</v>
      </c>
      <c r="F17" s="33" t="s">
        <v>193</v>
      </c>
      <c r="G17" s="33" t="s">
        <v>193</v>
      </c>
      <c r="H17" s="33" t="s">
        <v>193</v>
      </c>
      <c r="I17" s="33" t="s">
        <v>193</v>
      </c>
      <c r="J17" s="33" t="s">
        <v>193</v>
      </c>
      <c r="K17" s="33" t="s">
        <v>193</v>
      </c>
      <c r="L17" s="33" t="s">
        <v>193</v>
      </c>
      <c r="M17" s="33" t="s">
        <v>193</v>
      </c>
      <c r="N17" s="33" t="s">
        <v>193</v>
      </c>
      <c r="O17" s="33" t="s">
        <v>193</v>
      </c>
      <c r="P17" s="29">
        <f>D17</f>
        <v>0.27065</v>
      </c>
    </row>
    <row r="18" s="4" customFormat="1" ht="24" customHeight="1" spans="1:16">
      <c r="A18" s="30">
        <v>5</v>
      </c>
      <c r="B18" s="31" t="s">
        <v>77</v>
      </c>
      <c r="C18" s="32" t="s">
        <v>74</v>
      </c>
      <c r="D18" s="32">
        <f>结算审核表!J34</f>
        <v>29.44</v>
      </c>
      <c r="E18" s="33" t="s">
        <v>193</v>
      </c>
      <c r="F18" s="33" t="s">
        <v>193</v>
      </c>
      <c r="G18" s="33" t="s">
        <v>193</v>
      </c>
      <c r="H18" s="29">
        <f>D18*0.023*0.305</f>
        <v>0.2065216</v>
      </c>
      <c r="I18" s="33" t="s">
        <v>193</v>
      </c>
      <c r="J18" s="33" t="s">
        <v>193</v>
      </c>
      <c r="K18" s="33" t="s">
        <v>193</v>
      </c>
      <c r="L18" s="29">
        <f>D18*0.023*1.1</f>
        <v>0.744832</v>
      </c>
      <c r="M18" s="33" t="s">
        <v>193</v>
      </c>
      <c r="N18" s="33" t="s">
        <v>193</v>
      </c>
      <c r="O18" s="33" t="s">
        <v>193</v>
      </c>
      <c r="P18" s="33" t="s">
        <v>193</v>
      </c>
    </row>
    <row r="19" s="5" customFormat="1" ht="24" customHeight="1" spans="1:16">
      <c r="A19" s="34"/>
      <c r="B19" s="35" t="s">
        <v>195</v>
      </c>
      <c r="C19" s="34"/>
      <c r="D19" s="34"/>
      <c r="E19" s="34">
        <f>SUM(E14:E18)</f>
        <v>0</v>
      </c>
      <c r="F19" s="34">
        <f t="shared" ref="F19:P19" si="1">SUM(F14:F18)</f>
        <v>1.0912</v>
      </c>
      <c r="G19" s="34">
        <f t="shared" si="1"/>
        <v>0.1410705</v>
      </c>
      <c r="H19" s="34">
        <f t="shared" si="1"/>
        <v>0.2065216</v>
      </c>
      <c r="I19" s="34">
        <f t="shared" si="1"/>
        <v>0</v>
      </c>
      <c r="J19" s="34">
        <f t="shared" si="1"/>
        <v>1.6544</v>
      </c>
      <c r="K19" s="34">
        <f t="shared" si="1"/>
        <v>0.599955</v>
      </c>
      <c r="L19" s="34">
        <f t="shared" si="1"/>
        <v>0.744832</v>
      </c>
      <c r="M19" s="34">
        <f t="shared" si="1"/>
        <v>0</v>
      </c>
      <c r="N19" s="34">
        <f t="shared" si="1"/>
        <v>2.8512</v>
      </c>
      <c r="O19" s="34">
        <f t="shared" si="1"/>
        <v>1.2549</v>
      </c>
      <c r="P19" s="34">
        <f t="shared" si="1"/>
        <v>0.27065</v>
      </c>
    </row>
    <row r="20" s="4" customFormat="1" ht="24" customHeight="1" spans="1:16">
      <c r="A20" s="26" t="s">
        <v>18</v>
      </c>
      <c r="B20" s="27" t="str">
        <f>结算审核表!B36</f>
        <v>管理用房</v>
      </c>
      <c r="C20" s="28"/>
      <c r="D20" s="28"/>
      <c r="E20" s="28"/>
      <c r="F20" s="29"/>
      <c r="G20" s="29"/>
      <c r="H20" s="29"/>
      <c r="I20" s="28"/>
      <c r="J20" s="29"/>
      <c r="K20" s="29"/>
      <c r="L20" s="29"/>
      <c r="M20" s="28"/>
      <c r="N20" s="29"/>
      <c r="O20" s="29"/>
      <c r="P20" s="29"/>
    </row>
    <row r="21" s="4" customFormat="1" ht="24" customHeight="1" spans="1:16">
      <c r="A21" s="30">
        <v>1</v>
      </c>
      <c r="B21" s="31" t="s">
        <v>192</v>
      </c>
      <c r="C21" s="32" t="s">
        <v>68</v>
      </c>
      <c r="D21" s="32">
        <v>0</v>
      </c>
      <c r="E21" s="32">
        <f>D21*0.289</f>
        <v>0</v>
      </c>
      <c r="F21" s="33"/>
      <c r="G21" s="33" t="s">
        <v>193</v>
      </c>
      <c r="H21" s="33" t="s">
        <v>193</v>
      </c>
      <c r="I21" s="32">
        <f>D21*0.49</f>
        <v>0</v>
      </c>
      <c r="J21" s="33"/>
      <c r="K21" s="33" t="s">
        <v>193</v>
      </c>
      <c r="L21" s="33" t="s">
        <v>193</v>
      </c>
      <c r="M21" s="32">
        <f>D21*0.81</f>
        <v>0</v>
      </c>
      <c r="N21" s="33"/>
      <c r="O21" s="33" t="s">
        <v>193</v>
      </c>
      <c r="P21" s="33" t="s">
        <v>193</v>
      </c>
    </row>
    <row r="22" s="4" customFormat="1" ht="24" customHeight="1" spans="1:16">
      <c r="A22" s="30">
        <v>2</v>
      </c>
      <c r="B22" s="31" t="s">
        <v>194</v>
      </c>
      <c r="C22" s="32" t="s">
        <v>68</v>
      </c>
      <c r="D22" s="32">
        <f>结算审核表!J38</f>
        <v>10.92</v>
      </c>
      <c r="E22" s="32"/>
      <c r="F22" s="33">
        <f>D22*0.31</f>
        <v>3.3852</v>
      </c>
      <c r="G22" s="33" t="s">
        <v>193</v>
      </c>
      <c r="H22" s="33" t="s">
        <v>193</v>
      </c>
      <c r="I22" s="32"/>
      <c r="J22" s="33">
        <f>D22*0.47</f>
        <v>5.1324</v>
      </c>
      <c r="K22" s="33" t="s">
        <v>193</v>
      </c>
      <c r="L22" s="33" t="s">
        <v>193</v>
      </c>
      <c r="M22" s="32"/>
      <c r="N22" s="33">
        <f>D22*0.81</f>
        <v>8.8452</v>
      </c>
      <c r="O22" s="33" t="s">
        <v>193</v>
      </c>
      <c r="P22" s="33" t="s">
        <v>193</v>
      </c>
    </row>
    <row r="23" s="4" customFormat="1" ht="24" customHeight="1" spans="1:16">
      <c r="A23" s="30">
        <v>3</v>
      </c>
      <c r="B23" s="31" t="s">
        <v>72</v>
      </c>
      <c r="C23" s="32" t="s">
        <v>68</v>
      </c>
      <c r="D23" s="32">
        <f>结算审核表!J39</f>
        <v>8.17</v>
      </c>
      <c r="E23" s="33" t="s">
        <v>193</v>
      </c>
      <c r="F23" s="33" t="s">
        <v>193</v>
      </c>
      <c r="G23" s="29">
        <f>D23*0.23*0.261</f>
        <v>0.4904451</v>
      </c>
      <c r="H23" s="33" t="s">
        <v>193</v>
      </c>
      <c r="I23" s="33" t="s">
        <v>193</v>
      </c>
      <c r="J23" s="33" t="s">
        <v>193</v>
      </c>
      <c r="K23" s="29">
        <f>D23*0.23*1.11</f>
        <v>2.085801</v>
      </c>
      <c r="L23" s="33" t="s">
        <v>193</v>
      </c>
      <c r="M23" s="33" t="s">
        <v>193</v>
      </c>
      <c r="N23" s="33" t="s">
        <v>193</v>
      </c>
      <c r="O23" s="43">
        <f>D23*534/1000</f>
        <v>4.36278</v>
      </c>
      <c r="P23" s="33" t="s">
        <v>193</v>
      </c>
    </row>
    <row r="24" s="4" customFormat="1" ht="24" customHeight="1" spans="1:16">
      <c r="A24" s="30">
        <v>4</v>
      </c>
      <c r="B24" s="31" t="s">
        <v>75</v>
      </c>
      <c r="C24" s="32" t="s">
        <v>94</v>
      </c>
      <c r="D24" s="33">
        <f>结算审核表!J40/1000</f>
        <v>0.75793</v>
      </c>
      <c r="E24" s="33" t="s">
        <v>193</v>
      </c>
      <c r="F24" s="33" t="s">
        <v>193</v>
      </c>
      <c r="G24" s="33" t="s">
        <v>193</v>
      </c>
      <c r="H24" s="33" t="s">
        <v>193</v>
      </c>
      <c r="I24" s="33" t="s">
        <v>193</v>
      </c>
      <c r="J24" s="33" t="s">
        <v>193</v>
      </c>
      <c r="K24" s="33" t="s">
        <v>193</v>
      </c>
      <c r="L24" s="33" t="s">
        <v>193</v>
      </c>
      <c r="M24" s="33" t="s">
        <v>193</v>
      </c>
      <c r="N24" s="33" t="s">
        <v>193</v>
      </c>
      <c r="O24" s="33" t="s">
        <v>193</v>
      </c>
      <c r="P24" s="29">
        <f>D24</f>
        <v>0.75793</v>
      </c>
    </row>
    <row r="25" s="4" customFormat="1" ht="24" customHeight="1" spans="1:16">
      <c r="A25" s="30">
        <v>5</v>
      </c>
      <c r="B25" s="31" t="s">
        <v>77</v>
      </c>
      <c r="C25" s="32" t="s">
        <v>74</v>
      </c>
      <c r="D25" s="32">
        <f>结算审核表!J42</f>
        <v>77.1</v>
      </c>
      <c r="E25" s="33" t="s">
        <v>193</v>
      </c>
      <c r="F25" s="33" t="s">
        <v>193</v>
      </c>
      <c r="G25" s="33" t="s">
        <v>193</v>
      </c>
      <c r="H25" s="29">
        <f>D25*0.023*0.305</f>
        <v>0.5408565</v>
      </c>
      <c r="I25" s="33" t="s">
        <v>193</v>
      </c>
      <c r="J25" s="33" t="s">
        <v>193</v>
      </c>
      <c r="K25" s="33" t="s">
        <v>193</v>
      </c>
      <c r="L25" s="29">
        <f>D25*0.023*1.1</f>
        <v>1.95063</v>
      </c>
      <c r="M25" s="33" t="s">
        <v>193</v>
      </c>
      <c r="N25" s="33" t="s">
        <v>193</v>
      </c>
      <c r="O25" s="33" t="s">
        <v>193</v>
      </c>
      <c r="P25" s="33" t="s">
        <v>193</v>
      </c>
    </row>
    <row r="26" s="5" customFormat="1" ht="24" customHeight="1" spans="1:16">
      <c r="A26" s="34"/>
      <c r="B26" s="35" t="s">
        <v>195</v>
      </c>
      <c r="C26" s="34"/>
      <c r="D26" s="34"/>
      <c r="E26" s="34">
        <f>SUM(E21:E25)</f>
        <v>0</v>
      </c>
      <c r="F26" s="34">
        <f t="shared" ref="F26:P26" si="2">SUM(F21:F25)</f>
        <v>3.3852</v>
      </c>
      <c r="G26" s="34">
        <f t="shared" si="2"/>
        <v>0.4904451</v>
      </c>
      <c r="H26" s="34">
        <f t="shared" si="2"/>
        <v>0.5408565</v>
      </c>
      <c r="I26" s="34">
        <f t="shared" si="2"/>
        <v>0</v>
      </c>
      <c r="J26" s="34">
        <f t="shared" si="2"/>
        <v>5.1324</v>
      </c>
      <c r="K26" s="34">
        <f t="shared" si="2"/>
        <v>2.085801</v>
      </c>
      <c r="L26" s="34">
        <f t="shared" si="2"/>
        <v>1.95063</v>
      </c>
      <c r="M26" s="34">
        <f t="shared" si="2"/>
        <v>0</v>
      </c>
      <c r="N26" s="34">
        <f t="shared" si="2"/>
        <v>8.8452</v>
      </c>
      <c r="O26" s="34">
        <f t="shared" si="2"/>
        <v>4.36278</v>
      </c>
      <c r="P26" s="34">
        <f t="shared" si="2"/>
        <v>0.75793</v>
      </c>
    </row>
    <row r="27" s="4" customFormat="1" ht="24" customHeight="1" spans="1:16">
      <c r="A27" s="26" t="s">
        <v>18</v>
      </c>
      <c r="B27" s="27" t="str">
        <f>结算审核表!B48</f>
        <v>管理用房附属</v>
      </c>
      <c r="C27" s="28"/>
      <c r="D27" s="28"/>
      <c r="E27" s="28"/>
      <c r="F27" s="29"/>
      <c r="G27" s="29"/>
      <c r="H27" s="29"/>
      <c r="I27" s="28"/>
      <c r="J27" s="29"/>
      <c r="K27" s="29"/>
      <c r="L27" s="29"/>
      <c r="M27" s="28"/>
      <c r="N27" s="29"/>
      <c r="O27" s="29"/>
      <c r="P27" s="29"/>
    </row>
    <row r="28" s="4" customFormat="1" ht="24" customHeight="1" spans="1:16">
      <c r="A28" s="30">
        <v>1</v>
      </c>
      <c r="B28" s="31" t="s">
        <v>192</v>
      </c>
      <c r="C28" s="32" t="s">
        <v>68</v>
      </c>
      <c r="D28" s="32">
        <v>0</v>
      </c>
      <c r="E28" s="32">
        <f>D28*0.289</f>
        <v>0</v>
      </c>
      <c r="F28" s="33"/>
      <c r="G28" s="33" t="s">
        <v>193</v>
      </c>
      <c r="H28" s="33" t="s">
        <v>193</v>
      </c>
      <c r="I28" s="32">
        <f>D28*0.49</f>
        <v>0</v>
      </c>
      <c r="J28" s="33"/>
      <c r="K28" s="33" t="s">
        <v>193</v>
      </c>
      <c r="L28" s="33" t="s">
        <v>193</v>
      </c>
      <c r="M28" s="32">
        <f>D28*0.81</f>
        <v>0</v>
      </c>
      <c r="N28" s="33"/>
      <c r="O28" s="33" t="s">
        <v>193</v>
      </c>
      <c r="P28" s="33" t="s">
        <v>193</v>
      </c>
    </row>
    <row r="29" s="4" customFormat="1" ht="24" customHeight="1" spans="1:16">
      <c r="A29" s="30">
        <v>2</v>
      </c>
      <c r="B29" s="31" t="s">
        <v>194</v>
      </c>
      <c r="C29" s="32" t="s">
        <v>68</v>
      </c>
      <c r="D29" s="32">
        <f>结算审核表!J50</f>
        <v>0.51</v>
      </c>
      <c r="E29" s="32"/>
      <c r="F29" s="33">
        <f>D29*0.31</f>
        <v>0.1581</v>
      </c>
      <c r="G29" s="33" t="s">
        <v>193</v>
      </c>
      <c r="H29" s="33" t="s">
        <v>193</v>
      </c>
      <c r="I29" s="32"/>
      <c r="J29" s="33">
        <f>D29*0.47</f>
        <v>0.2397</v>
      </c>
      <c r="K29" s="33" t="s">
        <v>193</v>
      </c>
      <c r="L29" s="33" t="s">
        <v>193</v>
      </c>
      <c r="M29" s="32"/>
      <c r="N29" s="33">
        <f>D29*0.81</f>
        <v>0.4131</v>
      </c>
      <c r="O29" s="33" t="s">
        <v>193</v>
      </c>
      <c r="P29" s="33" t="s">
        <v>193</v>
      </c>
    </row>
    <row r="30" s="4" customFormat="1" ht="24" customHeight="1" spans="1:16">
      <c r="A30" s="30">
        <v>3</v>
      </c>
      <c r="B30" s="31" t="s">
        <v>72</v>
      </c>
      <c r="C30" s="32" t="s">
        <v>68</v>
      </c>
      <c r="D30" s="32">
        <f>结算审核表!J51</f>
        <v>0.11</v>
      </c>
      <c r="E30" s="33" t="s">
        <v>193</v>
      </c>
      <c r="F30" s="33" t="s">
        <v>193</v>
      </c>
      <c r="G30" s="29">
        <f>D30*0.23*0.261</f>
        <v>0.0066033</v>
      </c>
      <c r="H30" s="33" t="s">
        <v>193</v>
      </c>
      <c r="I30" s="33" t="s">
        <v>193</v>
      </c>
      <c r="J30" s="33" t="s">
        <v>193</v>
      </c>
      <c r="K30" s="29">
        <f>D30*0.23*1.11</f>
        <v>0.028083</v>
      </c>
      <c r="L30" s="33" t="s">
        <v>193</v>
      </c>
      <c r="M30" s="33" t="s">
        <v>193</v>
      </c>
      <c r="N30" s="33" t="s">
        <v>193</v>
      </c>
      <c r="O30" s="43">
        <f>D30*534/1000</f>
        <v>0.05874</v>
      </c>
      <c r="P30" s="33" t="s">
        <v>193</v>
      </c>
    </row>
    <row r="31" s="4" customFormat="1" ht="24" customHeight="1" spans="1:16">
      <c r="A31" s="30">
        <v>4</v>
      </c>
      <c r="B31" s="31" t="s">
        <v>75</v>
      </c>
      <c r="C31" s="32" t="s">
        <v>94</v>
      </c>
      <c r="D31" s="33">
        <v>0</v>
      </c>
      <c r="E31" s="33" t="s">
        <v>193</v>
      </c>
      <c r="F31" s="33" t="s">
        <v>193</v>
      </c>
      <c r="G31" s="33" t="s">
        <v>193</v>
      </c>
      <c r="H31" s="33" t="s">
        <v>193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  <c r="N31" s="33" t="s">
        <v>193</v>
      </c>
      <c r="O31" s="33" t="s">
        <v>193</v>
      </c>
      <c r="P31" s="29">
        <f>D31</f>
        <v>0</v>
      </c>
    </row>
    <row r="32" s="4" customFormat="1" ht="24" customHeight="1" spans="1:16">
      <c r="A32" s="30">
        <v>5</v>
      </c>
      <c r="B32" s="31" t="s">
        <v>77</v>
      </c>
      <c r="C32" s="32" t="s">
        <v>74</v>
      </c>
      <c r="D32" s="32">
        <f>结算审核表!J52</f>
        <v>2.17</v>
      </c>
      <c r="E32" s="33" t="s">
        <v>193</v>
      </c>
      <c r="F32" s="33" t="s">
        <v>193</v>
      </c>
      <c r="G32" s="33" t="s">
        <v>193</v>
      </c>
      <c r="H32" s="29">
        <f>D32*0.023*0.305</f>
        <v>0.01522255</v>
      </c>
      <c r="I32" s="33" t="s">
        <v>193</v>
      </c>
      <c r="J32" s="33" t="s">
        <v>193</v>
      </c>
      <c r="K32" s="33" t="s">
        <v>193</v>
      </c>
      <c r="L32" s="29">
        <f>D32*0.023*1.1</f>
        <v>0.054901</v>
      </c>
      <c r="M32" s="33" t="s">
        <v>193</v>
      </c>
      <c r="N32" s="33" t="s">
        <v>193</v>
      </c>
      <c r="O32" s="33" t="s">
        <v>193</v>
      </c>
      <c r="P32" s="33" t="s">
        <v>193</v>
      </c>
    </row>
    <row r="33" s="5" customFormat="1" ht="24" customHeight="1" spans="1:16">
      <c r="A33" s="34"/>
      <c r="B33" s="35" t="s">
        <v>195</v>
      </c>
      <c r="C33" s="34"/>
      <c r="D33" s="34"/>
      <c r="E33" s="34">
        <f>SUM(E28:E32)</f>
        <v>0</v>
      </c>
      <c r="F33" s="34">
        <f t="shared" ref="F33:P33" si="3">SUM(F28:F32)</f>
        <v>0.1581</v>
      </c>
      <c r="G33" s="34">
        <f t="shared" si="3"/>
        <v>0.0066033</v>
      </c>
      <c r="H33" s="34">
        <f t="shared" si="3"/>
        <v>0.01522255</v>
      </c>
      <c r="I33" s="34">
        <f t="shared" si="3"/>
        <v>0</v>
      </c>
      <c r="J33" s="34">
        <f t="shared" si="3"/>
        <v>0.2397</v>
      </c>
      <c r="K33" s="34">
        <f t="shared" si="3"/>
        <v>0.028083</v>
      </c>
      <c r="L33" s="34">
        <f t="shared" si="3"/>
        <v>0.054901</v>
      </c>
      <c r="M33" s="34">
        <f t="shared" si="3"/>
        <v>0</v>
      </c>
      <c r="N33" s="34">
        <f t="shared" si="3"/>
        <v>0.4131</v>
      </c>
      <c r="O33" s="34">
        <f t="shared" si="3"/>
        <v>0.05874</v>
      </c>
      <c r="P33" s="34">
        <f t="shared" si="3"/>
        <v>0</v>
      </c>
    </row>
    <row r="34" ht="33.3" customHeight="1" spans="1:16">
      <c r="A34" s="36" t="s">
        <v>166</v>
      </c>
      <c r="B34" s="36"/>
      <c r="C34" s="37"/>
      <c r="D34" s="38"/>
      <c r="E34" s="38">
        <f>E12+E19+E26+E33</f>
        <v>0</v>
      </c>
      <c r="F34" s="38">
        <f t="shared" ref="F34:P34" si="4">F12+F19+F26+F33</f>
        <v>11.656</v>
      </c>
      <c r="G34" s="38">
        <f t="shared" si="4"/>
        <v>2.359179</v>
      </c>
      <c r="H34" s="38">
        <f t="shared" si="4"/>
        <v>2.4859757</v>
      </c>
      <c r="I34" s="38">
        <f t="shared" si="4"/>
        <v>0</v>
      </c>
      <c r="J34" s="38">
        <f t="shared" si="4"/>
        <v>17.672</v>
      </c>
      <c r="K34" s="38">
        <f t="shared" si="4"/>
        <v>10.03329</v>
      </c>
      <c r="L34" s="38">
        <f t="shared" si="4"/>
        <v>8.965814</v>
      </c>
      <c r="M34" s="38">
        <f t="shared" si="4"/>
        <v>0</v>
      </c>
      <c r="N34" s="38">
        <f t="shared" si="4"/>
        <v>30.456</v>
      </c>
      <c r="O34" s="38">
        <f t="shared" si="4"/>
        <v>20.9862</v>
      </c>
      <c r="P34" s="38">
        <f t="shared" si="4"/>
        <v>3.34159</v>
      </c>
    </row>
  </sheetData>
  <mergeCells count="11">
    <mergeCell ref="A1:P1"/>
    <mergeCell ref="A2:P2"/>
    <mergeCell ref="E3:H3"/>
    <mergeCell ref="I3:L3"/>
    <mergeCell ref="M3:N3"/>
    <mergeCell ref="A34:B34"/>
    <mergeCell ref="A3:A5"/>
    <mergeCell ref="B3:B5"/>
    <mergeCell ref="C3:C5"/>
    <mergeCell ref="D3:D5"/>
    <mergeCell ref="P3:P5"/>
  </mergeCells>
  <pageMargins left="0.7" right="0.7" top="0.75" bottom="0.75" header="0.3" footer="0.3"/>
  <pageSetup paperSize="9" orientation="portrait" horizontalDpi="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附件5</vt:lpstr>
      <vt:lpstr>封面 </vt:lpstr>
      <vt:lpstr>结算审核表</vt:lpstr>
      <vt:lpstr>工程量清单表</vt:lpstr>
      <vt:lpstr>二次转运材料汇总表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高山流水</cp:lastModifiedBy>
  <dcterms:created xsi:type="dcterms:W3CDTF">2019-05-24T07:32:00Z</dcterms:created>
  <cp:lastPrinted>2021-08-10T02:46:00Z</cp:lastPrinted>
  <dcterms:modified xsi:type="dcterms:W3CDTF">2024-07-18T12:36:38Z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38B1918F23ED4BDE9B6B9AF87E9CB4D0_13</vt:lpwstr>
  </property>
</Properties>
</file>