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783"/>
  </bookViews>
  <sheets>
    <sheet name="封面 " sheetId="12" r:id="rId1"/>
    <sheet name="汇总表" sheetId="1" r:id="rId2"/>
    <sheet name="结算审核明细表" sheetId="9" r:id="rId3"/>
    <sheet name="工程量核对表" sheetId="3" r:id="rId4"/>
    <sheet name="工程量计算稿" sheetId="7" r:id="rId5"/>
    <sheet name="二转材料统计" sheetId="11" r:id="rId6"/>
    <sheet name="材料价格除税表" sheetId="10" r:id="rId7"/>
  </sheets>
  <externalReferences>
    <externalReference r:id="rId8"/>
    <externalReference r:id="rId9"/>
  </externalReferences>
  <definedNames>
    <definedName name="_xlnm._FilterDatabase" localSheetId="2" hidden="1">结算审核明细表!$A$3:$B$150</definedName>
    <definedName name="_xlnm._FilterDatabase" localSheetId="3" hidden="1">工程量核对表!$A$3:$I$99</definedName>
    <definedName name="D">EVALUATE(工程量计算稿!XFD1048574)</definedName>
    <definedName name="_xlnm.Print_Titles" localSheetId="3">工程量核对表!$1:$4</definedName>
    <definedName name="_xlnm.Print_Titles" localSheetId="4">工程量计算稿!$1:$3</definedName>
    <definedName name="_xlnm.Print_Titles" localSheetId="2">结算审核明细表!$1:$4</definedName>
    <definedName name="_xlnm.Print_Titles" localSheetId="1">汇总表!$1:$3</definedName>
    <definedName name="D" localSheetId="6">EVALUATE([1]工程量计算稿!XFD1048574)</definedName>
    <definedName name="D" localSheetId="5">EVALUATE(#REF!)</definedName>
    <definedName name="D" localSheetId="0">EVALUATE([2]工程量计算稿!XFD1048574)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<sst xmlns="http://schemas.openxmlformats.org/spreadsheetml/2006/main" count="891" uniqueCount="307">
  <si>
    <t/>
  </si>
  <si>
    <t>南江县下两镇大田村饮水安全工程</t>
  </si>
  <si>
    <t>结算审计复核情况公示</t>
  </si>
  <si>
    <t>签约合同价(小写):</t>
  </si>
  <si>
    <t>(大写):</t>
  </si>
  <si>
    <t>竣工结算价(小写):</t>
  </si>
  <si>
    <t>结    算
多计金额（小写):</t>
  </si>
  <si>
    <t>发　包　人:</t>
  </si>
  <si>
    <t>南江县下两镇两河村村民委员会</t>
  </si>
  <si>
    <t>承　包　人:</t>
  </si>
  <si>
    <t>南江县永兴建筑工程有限公司</t>
  </si>
  <si>
    <t>造价咨询人:</t>
  </si>
  <si>
    <t>永道工程咨询（江苏）有限公司</t>
  </si>
  <si>
    <t>(单位盖章)</t>
  </si>
  <si>
    <t>法定代表人
或其授权人:</t>
  </si>
  <si>
    <t xml:space="preserve"> </t>
  </si>
  <si>
    <t>(签字或盖章)</t>
  </si>
  <si>
    <t>复 核 单 位:</t>
  </si>
  <si>
    <t>南江县审计局</t>
  </si>
  <si>
    <t>复  核　人:</t>
  </si>
  <si>
    <t xml:space="preserve">
复 核 时 间:</t>
  </si>
  <si>
    <t>结算审核汇总表</t>
  </si>
  <si>
    <t>工程名称：南江县下两镇大田村饮水安全工程</t>
  </si>
  <si>
    <t>序号</t>
  </si>
  <si>
    <t>工程项目及名称</t>
  </si>
  <si>
    <t>单位</t>
  </si>
  <si>
    <t>签约合同价（元）</t>
  </si>
  <si>
    <t>竣工结算价（元）</t>
  </si>
  <si>
    <t>结算审核价（元）</t>
  </si>
  <si>
    <t>审核增减（元）</t>
  </si>
  <si>
    <t>备 注</t>
  </si>
  <si>
    <t>设备费</t>
  </si>
  <si>
    <t>安装费</t>
  </si>
  <si>
    <t>相比签约合同价</t>
  </si>
  <si>
    <t>相比竣工结算价</t>
  </si>
  <si>
    <t>甲供PE管
业主自行核定</t>
  </si>
  <si>
    <t>第五部分 独立费用</t>
  </si>
  <si>
    <t>工程总投资</t>
  </si>
  <si>
    <t>其中甲供PE管材费</t>
  </si>
  <si>
    <t>业主自行核定</t>
  </si>
  <si>
    <t>其中勘测设计费</t>
  </si>
  <si>
    <t>合同让利2%</t>
  </si>
  <si>
    <t>结算总价</t>
  </si>
  <si>
    <t xml:space="preserve">竣工结算审核表 </t>
  </si>
  <si>
    <t>编号</t>
  </si>
  <si>
    <t>设计预算价</t>
  </si>
  <si>
    <t>竣工结算价</t>
  </si>
  <si>
    <t>结算审核价</t>
  </si>
  <si>
    <t>备注</t>
  </si>
  <si>
    <t>数量</t>
  </si>
  <si>
    <t>单价(元)</t>
  </si>
  <si>
    <t>合价(元)</t>
  </si>
  <si>
    <t>相比设计预算价</t>
  </si>
  <si>
    <t>相比送审结算价</t>
  </si>
  <si>
    <t>第一部分 建筑工程</t>
  </si>
  <si>
    <t>骡马运输，平地，运距30m</t>
  </si>
  <si>
    <t>二社</t>
  </si>
  <si>
    <t>水泥</t>
  </si>
  <si>
    <t>t</t>
  </si>
  <si>
    <t>砂</t>
  </si>
  <si>
    <t>m3</t>
  </si>
  <si>
    <t>碎石</t>
  </si>
  <si>
    <t>页岩砖</t>
  </si>
  <si>
    <t>千匹</t>
  </si>
  <si>
    <t>钢筋</t>
  </si>
  <si>
    <r>
      <rPr>
        <sz val="9"/>
        <rFont val="宋体"/>
        <charset val="134"/>
      </rPr>
      <t>骡马运输，上坡</t>
    </r>
    <r>
      <rPr>
        <sz val="9"/>
        <rFont val="Microsoft YaHei"/>
        <charset val="134"/>
      </rPr>
      <t>&gt;</t>
    </r>
    <r>
      <rPr>
        <sz val="9"/>
        <rFont val="宋体"/>
        <charset val="134"/>
      </rPr>
      <t>30°，运距90m</t>
    </r>
  </si>
  <si>
    <t>三社</t>
  </si>
  <si>
    <r>
      <rPr>
        <sz val="9"/>
        <color rgb="FF000000"/>
        <rFont val="宋体"/>
        <charset val="134"/>
      </rPr>
      <t>骡马运输，上坡</t>
    </r>
    <r>
      <rPr>
        <sz val="9"/>
        <color rgb="FF000000"/>
        <rFont val="Microsoft YaHei"/>
        <charset val="134"/>
      </rPr>
      <t>&gt;</t>
    </r>
    <r>
      <rPr>
        <sz val="9"/>
        <color rgb="FF000000"/>
        <rFont val="宋体"/>
        <charset val="134"/>
      </rPr>
      <t>30°，运距90m</t>
    </r>
  </si>
  <si>
    <t>签证价</t>
  </si>
  <si>
    <t>属受益户开挖</t>
  </si>
  <si>
    <t>七岭村管道安装费</t>
  </si>
  <si>
    <t>项</t>
  </si>
  <si>
    <t>第五部分 勘测设计费</t>
  </si>
  <si>
    <t>让利2%</t>
  </si>
  <si>
    <t>工程量核对表</t>
  </si>
  <si>
    <t xml:space="preserve">工程名称：南江县下两镇大田村饮水安全工程     </t>
  </si>
  <si>
    <t>预算
工程量</t>
  </si>
  <si>
    <t>送审
工程量</t>
  </si>
  <si>
    <t>审核
工程量</t>
  </si>
  <si>
    <t>工程量增减</t>
  </si>
  <si>
    <t>相比投标</t>
  </si>
  <si>
    <t>相比送审</t>
  </si>
  <si>
    <t>组价计算</t>
  </si>
  <si>
    <t>领取6000m</t>
  </si>
  <si>
    <t>领取5600m</t>
  </si>
  <si>
    <t>领取17500m</t>
  </si>
  <si>
    <t>领取管件费用5727.41元</t>
  </si>
  <si>
    <t>工程量计算稿</t>
  </si>
  <si>
    <t>计算式</t>
  </si>
  <si>
    <t>工程量</t>
  </si>
  <si>
    <t>一</t>
  </si>
  <si>
    <t>取水工程</t>
  </si>
  <si>
    <t>二</t>
  </si>
  <si>
    <t>输水工程</t>
  </si>
  <si>
    <t>（一）</t>
  </si>
  <si>
    <t>管道开挖埋设</t>
  </si>
  <si>
    <t>土方开挖</t>
  </si>
  <si>
    <r>
      <rPr>
        <sz val="10"/>
        <rFont val="宋体"/>
        <charset val="134"/>
      </rPr>
      <t>235.2*</t>
    </r>
    <r>
      <rPr>
        <sz val="10"/>
        <color rgb="FFFF0000"/>
        <rFont val="宋体"/>
        <charset val="134"/>
      </rPr>
      <t>0</t>
    </r>
  </si>
  <si>
    <t>石方开挖</t>
  </si>
  <si>
    <r>
      <rPr>
        <sz val="10"/>
        <rFont val="宋体"/>
        <charset val="134"/>
      </rPr>
      <t>100.8*</t>
    </r>
    <r>
      <rPr>
        <sz val="10"/>
        <color rgb="FFFF0000"/>
        <rFont val="宋体"/>
        <charset val="134"/>
      </rPr>
      <t>0</t>
    </r>
  </si>
  <si>
    <t>土方回填</t>
  </si>
  <si>
    <r>
      <rPr>
        <sz val="10"/>
        <rFont val="宋体"/>
        <charset val="134"/>
      </rPr>
      <t>307.97*</t>
    </r>
    <r>
      <rPr>
        <sz val="10"/>
        <color rgb="FFFF0000"/>
        <rFont val="宋体"/>
        <charset val="134"/>
      </rPr>
      <t>0</t>
    </r>
  </si>
  <si>
    <t>（二）</t>
  </si>
  <si>
    <t>C20砼镇支墩</t>
  </si>
  <si>
    <t>个</t>
  </si>
  <si>
    <t>三</t>
  </si>
  <si>
    <t>水厂工程</t>
  </si>
  <si>
    <t>闸阀井</t>
  </si>
  <si>
    <t>座</t>
  </si>
  <si>
    <t>闸阀井2</t>
  </si>
  <si>
    <t>闸阀井1</t>
  </si>
  <si>
    <t>M7.5浆砌页岩砖</t>
  </si>
  <si>
    <t>（2.45+0.83-0.24*2）*2*0.8*0.24</t>
  </si>
  <si>
    <t>（2.1+0.82-0.24*2）*2*0.8*0.24</t>
  </si>
  <si>
    <t>预制盖板C20砼</t>
  </si>
  <si>
    <t>2.45*0.83*0.04</t>
  </si>
  <si>
    <t>2.1*0.82*0.04</t>
  </si>
  <si>
    <t>盖板钢筋制安</t>
  </si>
  <si>
    <t>（16*0.79+6*2.41）*0.395/1000*2</t>
  </si>
  <si>
    <t>（14*0.78+6*2.06）*0.395/1000*2</t>
  </si>
  <si>
    <t>M10砂浆抹面</t>
  </si>
  <si>
    <t>m2</t>
  </si>
  <si>
    <t>（2.45+0.83）*2*0.8+（1.97+0.35）*2*1.04</t>
  </si>
  <si>
    <t>（2.1+0.82）*2*0.8+（1.62+0.34）*2*1.04</t>
  </si>
  <si>
    <t>人力二次转运材料（500元/t/km，运距0.2km）</t>
  </si>
  <si>
    <t>C20现浇砼底板</t>
  </si>
  <si>
    <t>2.45*0.83*0.1</t>
  </si>
  <si>
    <t>2.1*0.82*0.1</t>
  </si>
  <si>
    <t>新建50方清水池</t>
  </si>
  <si>
    <t>(3.14*2.94^2*0.2+3.14*3.09^2*2.7)*0.7</t>
  </si>
  <si>
    <t>(3.14*2.94^2*0.2+3.14*3.09^2*2.7)*0.3</t>
  </si>
  <si>
    <t>3.14*3.09^2*2.7-3.14*2.74^2*2.7</t>
  </si>
  <si>
    <t>30cm厚覆土</t>
  </si>
  <si>
    <t>3.14*2.62^2*0.3</t>
  </si>
  <si>
    <t>C25混凝土浇筑</t>
  </si>
  <si>
    <t>3.14*2.94^2*0.05+3.14*2.84^2*0.15+（3.14*2.75^2-1.2*1.2）*0.15+0.25*0.3*10.59</t>
  </si>
  <si>
    <t>垫层+底板+顶板+十字梁</t>
  </si>
  <si>
    <t>模板制安</t>
  </si>
  <si>
    <t>3.14*5.48*0.15+3.14*2.5^2-1.2*1.2+3.14*5.88*0.15</t>
  </si>
  <si>
    <t>钢筋制安</t>
  </si>
  <si>
    <t>顶板+顶板钢筋</t>
  </si>
  <si>
    <t>（336.67+295.95）*0.617/1000*2</t>
  </si>
  <si>
    <t>十字梁钢筋</t>
  </si>
  <si>
    <t>（10.59*2*1.21+10.59*3*1.58+71*1.16*0.395）/1000</t>
  </si>
  <si>
    <t>3.14*5*3+3.14*5.48*0.72+0.37*4*2.7</t>
  </si>
  <si>
    <t>池壁贴瓷砖</t>
  </si>
  <si>
    <t>3.14*5.48*0.6</t>
  </si>
  <si>
    <t>3.14*5.24*3*0.24-0.24*0.25*0.3*4+3.14*5.36*0.3*0.115+0.365*0.365*2.7</t>
  </si>
  <si>
    <t>池壁+池顶+柱</t>
  </si>
  <si>
    <t>铁梯制安</t>
  </si>
  <si>
    <t>通气、进人孔</t>
  </si>
  <si>
    <t>套</t>
  </si>
  <si>
    <t>（三）</t>
  </si>
  <si>
    <t>新建80方清水池</t>
  </si>
  <si>
    <t>实际为6.48m</t>
  </si>
  <si>
    <t>(3.14*3.44^2*0.2+3.14*3.59^2*2.75)*0.7</t>
  </si>
  <si>
    <t>(3.14*3.44^2*0.2+3.14*3.59^2*2.75)*0.3</t>
  </si>
  <si>
    <t>3.14*3.59^2*2.75-3.14*3.24^2*2.75</t>
  </si>
  <si>
    <t>3.14*3.12^2*（0.2+0.3）/2</t>
  </si>
  <si>
    <t>3.14*3.44^2*0.05+3.14*3.34^2*0.15+（3.14*3.24-1.1*1.1）*0.15+0.25*0.3*12.59</t>
  </si>
  <si>
    <t>3.14*6.48*0.15+3.14*3^2-1.1*1.1+3.14*6.88*0.15</t>
  </si>
  <si>
    <t>（468.02+424.52）*0.617/1000*2</t>
  </si>
  <si>
    <t>（12.59*2*1.21+10.59*3*1.58+84*1.16*0.395）/1000</t>
  </si>
  <si>
    <t>3.14*6*2.75+3.14*6.48*（（0.3+0.2）/2+0.12）+0.37*4*2.45</t>
  </si>
  <si>
    <t>3.14*6.48*（0.2+0.3）/2</t>
  </si>
  <si>
    <t>3.14*6.24*2.75*0.24-0.24*0.25*0.3*4+3.14*6.36*（0.3+0.2）/2*0.115+0.365*0.365*2.45</t>
  </si>
  <si>
    <t>（四）</t>
  </si>
  <si>
    <t>硬化带</t>
  </si>
  <si>
    <t>m</t>
  </si>
  <si>
    <t>5cm厚砂石垫层</t>
  </si>
  <si>
    <t>(6.8*7.33-3.14*2.74^2)*0.05</t>
  </si>
  <si>
    <t>（9.46*9.2-3.14*3.24^2）*0.05</t>
  </si>
  <si>
    <t>10cm厚C20砼硬化带</t>
  </si>
  <si>
    <t>(6.8*7.33-3.14*2.74^2)*0.15</t>
  </si>
  <si>
    <t>（9.46*9.2-3.14*3.24^2）*0.15</t>
  </si>
  <si>
    <t>人力二次转运材料（500元/t/km，运距0.4km）</t>
  </si>
  <si>
    <t>（五）</t>
  </si>
  <si>
    <t>绿化种草</t>
  </si>
  <si>
    <t>3.14*3.12^2+3.14*2.62^2</t>
  </si>
  <si>
    <t>（六）</t>
  </si>
  <si>
    <t>围墙</t>
  </si>
  <si>
    <t>厂区1</t>
  </si>
  <si>
    <t>(6.8*7.33-3.14*2.74^2)*0.8-(6.8+7.33-0.24*2)*2*0.5*0.24-(6.8+7.33-0.3*2)*2*0.3*0.3-(6.8*7.33-3.14*2.74^2)*0.25</t>
  </si>
  <si>
    <t>厂区2</t>
  </si>
  <si>
    <t>（9.46*9.2-3.14*3.24^2）*0.7-(9.46+9.2-0.24*2)*2*0.4*0.24-(9.46+9.2-0.3*2)*0.3*0.3-（9.46*9.2-3.14*3.24^2）*0.2</t>
  </si>
  <si>
    <t>M7.5浆砌页岩砖（墙体）</t>
  </si>
  <si>
    <t>围墙（二社）</t>
  </si>
  <si>
    <t>(9.46+9.2-0.24*2)*2*0.4*0.24</t>
  </si>
  <si>
    <t>围墙（三社）</t>
  </si>
  <si>
    <t>(6.8+7.33-0.24*2)*2*0.5*0.24</t>
  </si>
  <si>
    <t>出水口墙（二社）</t>
  </si>
  <si>
    <t>(3.5+1.5)/2*3*0.24</t>
  </si>
  <si>
    <t>出水口墙（三社）</t>
  </si>
  <si>
    <t>1.8*2.2*0.24</t>
  </si>
  <si>
    <t>C25混凝土浇筑（基础高0.3m，宽0.3m）</t>
  </si>
  <si>
    <t>(6.8+7.33-0.3*2)*2*0.3*0.3</t>
  </si>
  <si>
    <t>(9.46+9.2-0.3*2)*0.3*0.3</t>
  </si>
  <si>
    <t>围墙1地圈梁钢筋（三社）</t>
  </si>
  <si>
    <t>(27.06*4*1.21+181*1.16*0.222）/1000</t>
  </si>
  <si>
    <t>围墙2地圈梁钢筋（二社）</t>
  </si>
  <si>
    <t>（36.12*4*1.21+241*1.16*0.222)/1000</t>
  </si>
  <si>
    <t>围墙双面贴瓷砖</t>
  </si>
  <si>
    <t>(6.8+4.33)*2*0.4</t>
  </si>
  <si>
    <t>(9.46+9.2)*2*0.55</t>
  </si>
  <si>
    <t>围墙1抹灰（三社）</t>
  </si>
  <si>
    <t>(6.8+4.33)*2*0.55</t>
  </si>
  <si>
    <t>围墙2抹灰（二社）</t>
  </si>
  <si>
    <t>(9.42+9.2)*2*0.4</t>
  </si>
  <si>
    <t>出水口墙1抹灰（二社）</t>
  </si>
  <si>
    <t>(3.5+1.5)/2*3</t>
  </si>
  <si>
    <t>出水口墙2抹灰（三社）</t>
  </si>
  <si>
    <t>1.8*2.2</t>
  </si>
  <si>
    <t>增1</t>
  </si>
  <si>
    <t>不锈钢栏杆（制作及安装）</t>
  </si>
  <si>
    <t>(6.6+7.2)*2*1.12+(9.3+8.95)*2*1.13-0.9*1.12-0.9*1.13</t>
  </si>
  <si>
    <t>（七）</t>
  </si>
  <si>
    <t>不锈钢大门</t>
  </si>
  <si>
    <t>（八）</t>
  </si>
  <si>
    <t>厂牌 安全饮水标志牌 简介牌</t>
  </si>
  <si>
    <t>四</t>
  </si>
  <si>
    <t>配水工程</t>
  </si>
  <si>
    <r>
      <rPr>
        <sz val="10"/>
        <rFont val="宋体"/>
        <charset val="134"/>
      </rPr>
      <t>12400*0.3*0.2*0.7</t>
    </r>
    <r>
      <rPr>
        <sz val="10"/>
        <color rgb="FFFF0000"/>
        <rFont val="宋体"/>
        <charset val="134"/>
      </rPr>
      <t>*0</t>
    </r>
  </si>
  <si>
    <r>
      <rPr>
        <sz val="10"/>
        <rFont val="宋体"/>
        <charset val="134"/>
      </rPr>
      <t>12400*0.3*0.2*0.3</t>
    </r>
    <r>
      <rPr>
        <sz val="10"/>
        <color rgb="FFFF0000"/>
        <rFont val="宋体"/>
        <charset val="134"/>
      </rPr>
      <t>*0</t>
    </r>
  </si>
  <si>
    <r>
      <rPr>
        <sz val="10"/>
        <rFont val="宋体"/>
        <charset val="134"/>
      </rPr>
      <t>（12400*0.3*0.2-3.1*0.03^2*3.14*12400）</t>
    </r>
    <r>
      <rPr>
        <sz val="10"/>
        <color rgb="FFFF0000"/>
        <rFont val="宋体"/>
        <charset val="134"/>
      </rPr>
      <t>*0</t>
    </r>
  </si>
  <si>
    <t>公路混凝土破碎</t>
  </si>
  <si>
    <t>C25砼路面恢复</t>
  </si>
  <si>
    <t>第二部分 机电设备安装工程</t>
  </si>
  <si>
    <t>DN40热镀锌无缝钢管壁厚4.0</t>
  </si>
  <si>
    <t>DN40热镀锌无缝钢管壁厚3.5</t>
  </si>
  <si>
    <t>DN40下村主管高压闸阀、高压水表</t>
  </si>
  <si>
    <t>闸阀、伸缩节、交接头</t>
  </si>
  <si>
    <t>1+1</t>
  </si>
  <si>
    <t>减压阀</t>
  </si>
  <si>
    <t>七岭村管道安装费用</t>
  </si>
  <si>
    <r>
      <rPr>
        <sz val="10"/>
        <rFont val="宋体"/>
        <charset val="134"/>
      </rPr>
      <t>1*</t>
    </r>
    <r>
      <rPr>
        <sz val="10"/>
        <color rgb="FFFF0000"/>
        <rFont val="宋体"/>
        <charset val="134"/>
      </rPr>
      <t>0</t>
    </r>
  </si>
  <si>
    <t>浮球阀</t>
  </si>
  <si>
    <t>dn50紫外线杀毒灯</t>
  </si>
  <si>
    <t>电表</t>
  </si>
  <si>
    <t>支</t>
  </si>
  <si>
    <t>220V供电线路</t>
  </si>
  <si>
    <t>电杆架设</t>
  </si>
  <si>
    <t>根</t>
  </si>
  <si>
    <t>dn50（1.6MPa壁厚4.6）PE管</t>
  </si>
  <si>
    <t>dn40（1.6MPa壁厚3.7）PE管</t>
  </si>
  <si>
    <t>dn32（1.6MPa壁厚3.0）PE管</t>
  </si>
  <si>
    <t>领取6000</t>
  </si>
  <si>
    <t>dn25（1.6MPa壁厚2.3）PE管</t>
  </si>
  <si>
    <t>领取5600</t>
  </si>
  <si>
    <t>dn20（1.6MPa壁厚2.3）PE管</t>
  </si>
  <si>
    <t>领取17500</t>
  </si>
  <si>
    <t>各类管件</t>
  </si>
  <si>
    <t>元</t>
  </si>
  <si>
    <t>领取管件费用5727.41</t>
  </si>
  <si>
    <t>材料耗量分析表</t>
  </si>
  <si>
    <t>分项名称</t>
  </si>
  <si>
    <t>每单位工程量耗量</t>
  </si>
  <si>
    <t>总耗量</t>
  </si>
  <si>
    <t>汇总</t>
  </si>
  <si>
    <t>水泥（kg）</t>
  </si>
  <si>
    <t>砂（m3）</t>
  </si>
  <si>
    <t>碎石（m3）</t>
  </si>
  <si>
    <t>页岩砖  （千匹）</t>
  </si>
  <si>
    <t>块石（m3）</t>
  </si>
  <si>
    <t>水泥（t）</t>
  </si>
  <si>
    <t>页岩砖  (千匹)</t>
  </si>
  <si>
    <t>C20砼</t>
  </si>
  <si>
    <t>C25砼</t>
  </si>
  <si>
    <t>M7.5浆砌石</t>
  </si>
  <si>
    <t>墙面瓷砖粘贴</t>
  </si>
  <si>
    <t>100mm厚C20硬化带</t>
  </si>
  <si>
    <t>砂垫层</t>
  </si>
  <si>
    <t>C15垫层（二级配 32.5）</t>
  </si>
  <si>
    <t>合 计</t>
  </si>
  <si>
    <t>材料价格除税表</t>
  </si>
  <si>
    <t>材料名称</t>
  </si>
  <si>
    <t>预算单价    （不含税）</t>
  </si>
  <si>
    <t>除税系数</t>
  </si>
  <si>
    <t>含税单价（元）</t>
  </si>
  <si>
    <t>电</t>
  </si>
  <si>
    <t>kw.h</t>
  </si>
  <si>
    <t>电水风</t>
  </si>
  <si>
    <t>水</t>
  </si>
  <si>
    <t>风</t>
  </si>
  <si>
    <t>柴油</t>
  </si>
  <si>
    <t>kg</t>
  </si>
  <si>
    <t>运输</t>
  </si>
  <si>
    <t>汽油</t>
  </si>
  <si>
    <t>炸药</t>
  </si>
  <si>
    <t>水泥（32.5）</t>
  </si>
  <si>
    <t>卵石（40mm）</t>
  </si>
  <si>
    <t>卵石</t>
  </si>
  <si>
    <t>40mm</t>
  </si>
  <si>
    <t>粗砂</t>
  </si>
  <si>
    <t>细砂</t>
  </si>
  <si>
    <t>砖</t>
  </si>
  <si>
    <t>千块</t>
  </si>
  <si>
    <t>电焊条</t>
  </si>
  <si>
    <t>铁件及预埋铁件</t>
  </si>
  <si>
    <t>铁丝</t>
  </si>
  <si>
    <t>导火线</t>
  </si>
  <si>
    <t>导电线</t>
  </si>
  <si>
    <t>预制混凝土柱</t>
  </si>
  <si>
    <t>合金钻头</t>
  </si>
  <si>
    <t>雷管</t>
  </si>
  <si>
    <t>面砖 200×300</t>
  </si>
  <si>
    <t>白水泥</t>
  </si>
  <si>
    <t>水泥 32.5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</si>
</sst>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.000_);[Red]\(0.000\)"/>
    <numFmt numFmtId="179" formatCode="#,##0.000_ "/>
    <numFmt numFmtId="180" formatCode="0.00_ ;[Red]\-0.00\ "/>
    <numFmt numFmtId="181" formatCode="0.0000_ "/>
    <numFmt numFmtId="182" formatCode="0_ "/>
    <numFmt numFmtId="183" formatCode="0.00000_ "/>
    <numFmt numFmtId="184" formatCode="0_);[Red]\(0\)"/>
    <numFmt numFmtId="185" formatCode="[DBNum2][$RMB]General;[Red][DBNum2][$RMB]General"/>
  </numFmts>
  <fonts count="90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0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2"/>
      <name val="仿宋"/>
      <charset val="134"/>
    </font>
    <font>
      <sz val="11"/>
      <color theme="1"/>
      <name val="仿宋"/>
      <charset val="134"/>
    </font>
    <font>
      <b/>
      <sz val="16"/>
      <name val="仿宋"/>
      <charset val="134"/>
    </font>
    <font>
      <b/>
      <sz val="9"/>
      <name val="仿宋"/>
      <charset val="134"/>
    </font>
    <font>
      <sz val="9"/>
      <name val="仿宋"/>
      <charset val="134"/>
    </font>
    <font>
      <b/>
      <sz val="9"/>
      <color theme="1"/>
      <name val="仿宋"/>
      <charset val="134"/>
    </font>
    <font>
      <sz val="9"/>
      <color theme="1"/>
      <name val="仿宋"/>
      <charset val="134"/>
    </font>
    <font>
      <sz val="9"/>
      <color rgb="FFFF0000"/>
      <name val="仿宋"/>
      <charset val="134"/>
    </font>
    <font>
      <sz val="8"/>
      <name val="仿宋"/>
      <charset val="134"/>
    </font>
    <font>
      <sz val="10"/>
      <color theme="1"/>
      <name val="仿宋"/>
      <charset val="134"/>
    </font>
    <font>
      <sz val="11"/>
      <name val="宋体"/>
      <charset val="134"/>
      <scheme val="minor"/>
    </font>
    <font>
      <b/>
      <sz val="18"/>
      <color theme="1"/>
      <name val="宋体"/>
      <charset val="134"/>
    </font>
    <font>
      <b/>
      <sz val="18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9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b/>
      <sz val="9"/>
      <color theme="1"/>
      <name val="宋体"/>
      <charset val="134"/>
    </font>
    <font>
      <b/>
      <sz val="7.5"/>
      <color theme="1"/>
      <name val="宋体"/>
      <charset val="134"/>
    </font>
    <font>
      <b/>
      <sz val="8"/>
      <color indexed="8"/>
      <name val="宋体"/>
      <charset val="134"/>
    </font>
    <font>
      <sz val="9"/>
      <color theme="1"/>
      <name val="宋体"/>
      <charset val="134"/>
    </font>
    <font>
      <sz val="8"/>
      <color indexed="8"/>
      <name val="宋体"/>
      <charset val="134"/>
    </font>
    <font>
      <sz val="7.5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宋体"/>
      <charset val="134"/>
    </font>
    <font>
      <b/>
      <sz val="8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b/>
      <sz val="20"/>
      <color theme="1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b/>
      <sz val="8"/>
      <color rgb="FF000000"/>
      <name val="宋体"/>
      <charset val="134"/>
    </font>
    <font>
      <sz val="8"/>
      <name val="宋体"/>
      <charset val="134"/>
    </font>
    <font>
      <sz val="9"/>
      <color rgb="FF000000"/>
      <name val="宋体"/>
      <charset val="134"/>
    </font>
    <font>
      <b/>
      <sz val="7"/>
      <color indexed="8"/>
      <name val="宋体"/>
      <charset val="134"/>
    </font>
    <font>
      <sz val="8"/>
      <color theme="1"/>
      <name val="宋体"/>
      <charset val="134"/>
      <scheme val="minor"/>
    </font>
    <font>
      <sz val="12"/>
      <color indexed="8"/>
      <name val="仿宋_GB2312"/>
      <charset val="134"/>
    </font>
    <font>
      <sz val="22"/>
      <color indexed="0"/>
      <name val="宋体"/>
      <charset val="134"/>
    </font>
    <font>
      <b/>
      <sz val="16"/>
      <color indexed="0"/>
      <name val="宋体"/>
      <charset val="134"/>
    </font>
    <font>
      <b/>
      <sz val="20"/>
      <color indexed="0"/>
      <name val="宋体"/>
      <charset val="134"/>
    </font>
    <font>
      <sz val="12"/>
      <color rgb="FF000000"/>
      <name val="仿宋_GB2312"/>
      <charset val="134"/>
    </font>
    <font>
      <sz val="12"/>
      <color indexed="0"/>
      <name val="仿宋_GB2312"/>
      <charset val="134"/>
    </font>
    <font>
      <sz val="12"/>
      <name val="仿宋_GB2312"/>
      <charset val="134"/>
    </font>
    <font>
      <sz val="12"/>
      <color indexed="0"/>
      <name val="宋体"/>
      <charset val="134"/>
    </font>
    <font>
      <sz val="11"/>
      <color indexed="0"/>
      <name val="宋体"/>
      <charset val="134"/>
    </font>
    <font>
      <sz val="12"/>
      <color rgb="FFFF0000"/>
      <name val="仿宋_GB2312"/>
      <charset val="134"/>
    </font>
    <font>
      <b/>
      <sz val="14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  <font>
      <sz val="9"/>
      <name val="Microsoft YaHei"/>
      <charset val="134"/>
    </font>
    <font>
      <sz val="9"/>
      <color rgb="FF000000"/>
      <name val="Microsoft YaHei"/>
      <charset val="134"/>
    </font>
  </fonts>
  <fills count="37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0" fillId="6" borderId="30" applyNumberFormat="0" applyFont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2" fillId="0" borderId="31" applyNumberFormat="0" applyFill="0" applyAlignment="0" applyProtection="0">
      <alignment vertical="center"/>
    </xf>
    <xf numFmtId="0" fontId="73" fillId="0" borderId="31" applyNumberFormat="0" applyFill="0" applyAlignment="0" applyProtection="0">
      <alignment vertical="center"/>
    </xf>
    <xf numFmtId="0" fontId="74" fillId="0" borderId="32" applyNumberFormat="0" applyFill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7" borderId="33" applyNumberFormat="0" applyAlignment="0" applyProtection="0">
      <alignment vertical="center"/>
    </xf>
    <xf numFmtId="0" fontId="76" fillId="8" borderId="34" applyNumberFormat="0" applyAlignment="0" applyProtection="0">
      <alignment vertical="center"/>
    </xf>
    <xf numFmtId="0" fontId="77" fillId="8" borderId="33" applyNumberFormat="0" applyAlignment="0" applyProtection="0">
      <alignment vertical="center"/>
    </xf>
    <xf numFmtId="0" fontId="78" fillId="9" borderId="35" applyNumberFormat="0" applyAlignment="0" applyProtection="0">
      <alignment vertical="center"/>
    </xf>
    <xf numFmtId="0" fontId="79" fillId="0" borderId="36" applyNumberFormat="0" applyFill="0" applyAlignment="0" applyProtection="0">
      <alignment vertical="center"/>
    </xf>
    <xf numFmtId="0" fontId="80" fillId="0" borderId="37" applyNumberFormat="0" applyFill="0" applyAlignment="0" applyProtection="0">
      <alignment vertical="center"/>
    </xf>
    <xf numFmtId="0" fontId="81" fillId="10" borderId="0" applyNumberFormat="0" applyBorder="0" applyAlignment="0" applyProtection="0">
      <alignment vertical="center"/>
    </xf>
    <xf numFmtId="0" fontId="82" fillId="11" borderId="0" applyNumberFormat="0" applyBorder="0" applyAlignment="0" applyProtection="0">
      <alignment vertical="center"/>
    </xf>
    <xf numFmtId="0" fontId="83" fillId="12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5" fillId="14" borderId="0" applyNumberFormat="0" applyBorder="0" applyAlignment="0" applyProtection="0">
      <alignment vertical="center"/>
    </xf>
    <xf numFmtId="0" fontId="85" fillId="15" borderId="0" applyNumberFormat="0" applyBorder="0" applyAlignment="0" applyProtection="0">
      <alignment vertical="center"/>
    </xf>
    <xf numFmtId="0" fontId="84" fillId="16" borderId="0" applyNumberFormat="0" applyBorder="0" applyAlignment="0" applyProtection="0">
      <alignment vertical="center"/>
    </xf>
    <xf numFmtId="0" fontId="84" fillId="17" borderId="0" applyNumberFormat="0" applyBorder="0" applyAlignment="0" applyProtection="0">
      <alignment vertical="center"/>
    </xf>
    <xf numFmtId="0" fontId="85" fillId="18" borderId="0" applyNumberFormat="0" applyBorder="0" applyAlignment="0" applyProtection="0">
      <alignment vertical="center"/>
    </xf>
    <xf numFmtId="0" fontId="85" fillId="19" borderId="0" applyNumberFormat="0" applyBorder="0" applyAlignment="0" applyProtection="0">
      <alignment vertical="center"/>
    </xf>
    <xf numFmtId="0" fontId="84" fillId="20" borderId="0" applyNumberFormat="0" applyBorder="0" applyAlignment="0" applyProtection="0">
      <alignment vertical="center"/>
    </xf>
    <xf numFmtId="0" fontId="84" fillId="21" borderId="0" applyNumberFormat="0" applyBorder="0" applyAlignment="0" applyProtection="0">
      <alignment vertical="center"/>
    </xf>
    <xf numFmtId="0" fontId="85" fillId="22" borderId="0" applyNumberFormat="0" applyBorder="0" applyAlignment="0" applyProtection="0">
      <alignment vertical="center"/>
    </xf>
    <xf numFmtId="0" fontId="85" fillId="23" borderId="0" applyNumberFormat="0" applyBorder="0" applyAlignment="0" applyProtection="0">
      <alignment vertical="center"/>
    </xf>
    <xf numFmtId="0" fontId="84" fillId="24" borderId="0" applyNumberFormat="0" applyBorder="0" applyAlignment="0" applyProtection="0">
      <alignment vertical="center"/>
    </xf>
    <xf numFmtId="0" fontId="84" fillId="25" borderId="0" applyNumberFormat="0" applyBorder="0" applyAlignment="0" applyProtection="0">
      <alignment vertical="center"/>
    </xf>
    <xf numFmtId="0" fontId="85" fillId="26" borderId="0" applyNumberFormat="0" applyBorder="0" applyAlignment="0" applyProtection="0">
      <alignment vertical="center"/>
    </xf>
    <xf numFmtId="0" fontId="85" fillId="27" borderId="0" applyNumberFormat="0" applyBorder="0" applyAlignment="0" applyProtection="0">
      <alignment vertical="center"/>
    </xf>
    <xf numFmtId="0" fontId="84" fillId="28" borderId="0" applyNumberFormat="0" applyBorder="0" applyAlignment="0" applyProtection="0">
      <alignment vertical="center"/>
    </xf>
    <xf numFmtId="0" fontId="84" fillId="29" borderId="0" applyNumberFormat="0" applyBorder="0" applyAlignment="0" applyProtection="0">
      <alignment vertical="center"/>
    </xf>
    <xf numFmtId="0" fontId="85" fillId="30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84" fillId="32" borderId="0" applyNumberFormat="0" applyBorder="0" applyAlignment="0" applyProtection="0">
      <alignment vertical="center"/>
    </xf>
    <xf numFmtId="0" fontId="84" fillId="33" borderId="0" applyNumberFormat="0" applyBorder="0" applyAlignment="0" applyProtection="0">
      <alignment vertical="center"/>
    </xf>
    <xf numFmtId="0" fontId="85" fillId="34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0" fontId="84" fillId="36" borderId="0" applyNumberFormat="0" applyBorder="0" applyAlignment="0" applyProtection="0">
      <alignment vertical="center"/>
    </xf>
    <xf numFmtId="0" fontId="86" fillId="0" borderId="0"/>
    <xf numFmtId="0" fontId="86" fillId="0" borderId="0">
      <alignment vertical="center"/>
    </xf>
    <xf numFmtId="0" fontId="87" fillId="0" borderId="0"/>
    <xf numFmtId="0" fontId="86" fillId="0" borderId="0"/>
    <xf numFmtId="0" fontId="34" fillId="0" borderId="0"/>
  </cellStyleXfs>
  <cellXfs count="38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/>
    <xf numFmtId="0" fontId="8" fillId="0" borderId="1" xfId="0" applyNumberFormat="1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177" fontId="18" fillId="0" borderId="1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right" vertical="center"/>
    </xf>
    <xf numFmtId="177" fontId="16" fillId="0" borderId="1" xfId="0" applyNumberFormat="1" applyFont="1" applyFill="1" applyBorder="1" applyAlignment="1">
      <alignment horizontal="right" vertical="center"/>
    </xf>
    <xf numFmtId="0" fontId="16" fillId="0" borderId="7" xfId="0" applyFont="1" applyFill="1" applyBorder="1" applyAlignment="1"/>
    <xf numFmtId="0" fontId="15" fillId="0" borderId="8" xfId="0" applyFont="1" applyFill="1" applyBorder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177" fontId="18" fillId="0" borderId="18" xfId="0" applyNumberFormat="1" applyFont="1" applyFill="1" applyBorder="1" applyAlignment="1">
      <alignment horizontal="right" vertical="center"/>
    </xf>
    <xf numFmtId="176" fontId="18" fillId="0" borderId="6" xfId="0" applyNumberFormat="1" applyFont="1" applyFill="1" applyBorder="1" applyAlignment="1">
      <alignment horizontal="right" vertical="center"/>
    </xf>
    <xf numFmtId="176" fontId="18" fillId="0" borderId="1" xfId="0" applyNumberFormat="1" applyFont="1" applyFill="1" applyBorder="1" applyAlignment="1">
      <alignment vertical="center"/>
    </xf>
    <xf numFmtId="176" fontId="18" fillId="0" borderId="18" xfId="0" applyNumberFormat="1" applyFont="1" applyFill="1" applyBorder="1" applyAlignment="1">
      <alignment vertical="center"/>
    </xf>
    <xf numFmtId="177" fontId="16" fillId="0" borderId="18" xfId="0" applyNumberFormat="1" applyFont="1" applyFill="1" applyBorder="1" applyAlignment="1">
      <alignment horizontal="right" vertical="center"/>
    </xf>
    <xf numFmtId="177" fontId="16" fillId="0" borderId="1" xfId="0" applyNumberFormat="1" applyFont="1" applyFill="1" applyBorder="1" applyAlignment="1">
      <alignment vertical="center"/>
    </xf>
    <xf numFmtId="177" fontId="16" fillId="0" borderId="18" xfId="0" applyNumberFormat="1" applyFont="1" applyFill="1" applyBorder="1" applyAlignment="1">
      <alignment vertical="center"/>
    </xf>
    <xf numFmtId="0" fontId="15" fillId="0" borderId="19" xfId="0" applyFont="1" applyFill="1" applyBorder="1" applyAlignment="1">
      <alignment vertical="center" wrapText="1"/>
    </xf>
    <xf numFmtId="176" fontId="16" fillId="0" borderId="7" xfId="0" applyNumberFormat="1" applyFont="1" applyFill="1" applyBorder="1" applyAlignment="1">
      <alignment horizontal="center" vertical="center"/>
    </xf>
    <xf numFmtId="176" fontId="16" fillId="0" borderId="8" xfId="0" applyNumberFormat="1" applyFont="1" applyFill="1" applyBorder="1" applyAlignment="1">
      <alignment vertical="center"/>
    </xf>
    <xf numFmtId="177" fontId="16" fillId="0" borderId="19" xfId="0" applyNumberFormat="1" applyFont="1" applyFill="1" applyBorder="1" applyAlignment="1">
      <alignment vertical="center"/>
    </xf>
    <xf numFmtId="176" fontId="16" fillId="0" borderId="0" xfId="0" applyNumberFormat="1" applyFont="1" applyFill="1" applyAlignment="1">
      <alignment horizontal="center" vertical="center"/>
    </xf>
    <xf numFmtId="176" fontId="20" fillId="0" borderId="0" xfId="0" applyNumberFormat="1" applyFont="1" applyFill="1" applyAlignment="1">
      <alignment vertical="center"/>
    </xf>
    <xf numFmtId="177" fontId="16" fillId="0" borderId="0" xfId="0" applyNumberFormat="1" applyFont="1" applyFill="1" applyAlignment="1">
      <alignment vertical="center"/>
    </xf>
    <xf numFmtId="176" fontId="16" fillId="0" borderId="0" xfId="0" applyNumberFormat="1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center" vertical="center" wrapText="1"/>
    </xf>
    <xf numFmtId="177" fontId="18" fillId="0" borderId="22" xfId="0" applyNumberFormat="1" applyFont="1" applyFill="1" applyBorder="1" applyAlignment="1">
      <alignment horizontal="right" vertical="center"/>
    </xf>
    <xf numFmtId="177" fontId="16" fillId="0" borderId="22" xfId="0" applyNumberFormat="1" applyFont="1" applyFill="1" applyBorder="1" applyAlignment="1">
      <alignment horizontal="right" vertical="center"/>
    </xf>
    <xf numFmtId="0" fontId="15" fillId="0" borderId="23" xfId="0" applyFont="1" applyFill="1" applyBorder="1" applyAlignment="1">
      <alignment vertical="center" wrapText="1"/>
    </xf>
    <xf numFmtId="176" fontId="20" fillId="0" borderId="0" xfId="0" applyNumberFormat="1" applyFont="1" applyFill="1" applyBorder="1" applyAlignment="1">
      <alignment vertical="center"/>
    </xf>
    <xf numFmtId="176" fontId="16" fillId="0" borderId="0" xfId="0" applyNumberFormat="1" applyFont="1" applyFill="1" applyBorder="1" applyAlignment="1">
      <alignment vertical="center"/>
    </xf>
    <xf numFmtId="177" fontId="16" fillId="0" borderId="0" xfId="0" applyNumberFormat="1" applyFont="1" applyFill="1" applyBorder="1" applyAlignment="1">
      <alignment vertical="center"/>
    </xf>
    <xf numFmtId="0" fontId="14" fillId="0" borderId="2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1" fillId="0" borderId="2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176" fontId="12" fillId="0" borderId="0" xfId="0" applyNumberFormat="1" applyFont="1" applyFill="1" applyBorder="1" applyAlignment="1"/>
    <xf numFmtId="0" fontId="0" fillId="0" borderId="0" xfId="0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vertical="center"/>
    </xf>
    <xf numFmtId="0" fontId="9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2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right" vertical="center" wrapText="1"/>
    </xf>
    <xf numFmtId="178" fontId="23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right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76" fontId="27" fillId="0" borderId="1" xfId="0" applyNumberFormat="1" applyFont="1" applyFill="1" applyBorder="1" applyAlignment="1">
      <alignment horizontal="center" vertical="center" wrapText="1"/>
    </xf>
    <xf numFmtId="176" fontId="26" fillId="0" borderId="1" xfId="0" applyNumberFormat="1" applyFont="1" applyFill="1" applyBorder="1" applyAlignment="1">
      <alignment horizontal="center" vertical="center" wrapText="1"/>
    </xf>
    <xf numFmtId="178" fontId="26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 applyProtection="1">
      <alignment horizontal="center" vertical="center" wrapText="1"/>
    </xf>
    <xf numFmtId="176" fontId="27" fillId="0" borderId="1" xfId="0" applyNumberFormat="1" applyFont="1" applyFill="1" applyBorder="1" applyAlignment="1">
      <alignment horizontal="left" vertical="center" wrapText="1"/>
    </xf>
    <xf numFmtId="176" fontId="26" fillId="0" borderId="1" xfId="0" applyNumberFormat="1" applyFont="1" applyFill="1" applyBorder="1" applyAlignment="1">
      <alignment horizontal="right" vertical="center"/>
    </xf>
    <xf numFmtId="178" fontId="30" fillId="0" borderId="1" xfId="0" applyNumberFormat="1" applyFont="1" applyFill="1" applyBorder="1" applyAlignment="1">
      <alignment horizontal="center" vertical="center" wrapText="1"/>
    </xf>
    <xf numFmtId="176" fontId="26" fillId="0" borderId="1" xfId="0" applyNumberFormat="1" applyFont="1" applyFill="1" applyBorder="1" applyAlignment="1">
      <alignment vertical="center"/>
    </xf>
    <xf numFmtId="178" fontId="26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176" fontId="10" fillId="0" borderId="1" xfId="0" applyNumberFormat="1" applyFont="1" applyFill="1" applyBorder="1" applyAlignment="1">
      <alignment horizontal="left" vertical="center" wrapText="1"/>
    </xf>
    <xf numFmtId="176" fontId="30" fillId="0" borderId="1" xfId="0" applyNumberFormat="1" applyFont="1" applyFill="1" applyBorder="1" applyAlignment="1">
      <alignment vertical="center"/>
    </xf>
    <xf numFmtId="178" fontId="30" fillId="0" borderId="1" xfId="0" applyNumberFormat="1" applyFont="1" applyFill="1" applyBorder="1" applyAlignment="1">
      <alignment vertical="center" wrapText="1"/>
    </xf>
    <xf numFmtId="176" fontId="7" fillId="0" borderId="0" xfId="0" applyNumberFormat="1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 applyProtection="1">
      <alignment horizontal="center" vertical="center"/>
    </xf>
    <xf numFmtId="178" fontId="30" fillId="0" borderId="1" xfId="0" applyNumberFormat="1" applyFont="1" applyFill="1" applyBorder="1" applyAlignment="1">
      <alignment vertical="center"/>
    </xf>
    <xf numFmtId="179" fontId="30" fillId="0" borderId="1" xfId="0" applyNumberFormat="1" applyFont="1" applyFill="1" applyBorder="1" applyAlignment="1">
      <alignment vertical="center"/>
    </xf>
    <xf numFmtId="176" fontId="31" fillId="0" borderId="1" xfId="0" applyNumberFormat="1" applyFont="1" applyFill="1" applyBorder="1" applyAlignment="1">
      <alignment horizontal="left" vertical="center" wrapText="1"/>
    </xf>
    <xf numFmtId="178" fontId="8" fillId="0" borderId="1" xfId="0" applyNumberFormat="1" applyFont="1" applyFill="1" applyBorder="1" applyAlignment="1">
      <alignment vertical="center" wrapText="1"/>
    </xf>
    <xf numFmtId="177" fontId="30" fillId="0" borderId="1" xfId="0" applyNumberFormat="1" applyFont="1" applyFill="1" applyBorder="1" applyAlignment="1">
      <alignment vertical="center"/>
    </xf>
    <xf numFmtId="177" fontId="7" fillId="0" borderId="0" xfId="0" applyNumberFormat="1" applyFont="1" applyFill="1">
      <alignment vertical="center"/>
    </xf>
    <xf numFmtId="177" fontId="10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78" fontId="32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/>
    <xf numFmtId="0" fontId="32" fillId="0" borderId="0" xfId="0" applyFont="1" applyFill="1" applyBorder="1" applyAlignment="1"/>
    <xf numFmtId="0" fontId="32" fillId="0" borderId="0" xfId="0" applyFont="1" applyFill="1" applyAlignment="1"/>
    <xf numFmtId="0" fontId="28" fillId="0" borderId="0" xfId="0" applyFont="1" applyFill="1" applyAlignment="1"/>
    <xf numFmtId="0" fontId="32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right"/>
    </xf>
    <xf numFmtId="0" fontId="30" fillId="0" borderId="0" xfId="0" applyNumberFormat="1" applyFont="1" applyFill="1" applyBorder="1" applyAlignment="1">
      <alignment horizontal="right"/>
    </xf>
    <xf numFmtId="176" fontId="30" fillId="0" borderId="0" xfId="0" applyNumberFormat="1" applyFont="1" applyFill="1" applyBorder="1" applyAlignment="1">
      <alignment horizontal="right" vertical="center"/>
    </xf>
    <xf numFmtId="180" fontId="30" fillId="0" borderId="0" xfId="0" applyNumberFormat="1" applyFont="1" applyFill="1" applyBorder="1" applyAlignment="1">
      <alignment horizontal="right"/>
    </xf>
    <xf numFmtId="178" fontId="5" fillId="0" borderId="0" xfId="0" applyNumberFormat="1" applyFont="1" applyFill="1" applyBorder="1" applyAlignment="1">
      <alignment horizontal="right" wrapText="1"/>
    </xf>
    <xf numFmtId="176" fontId="5" fillId="0" borderId="0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>
      <alignment horizontal="right" vertical="center" wrapText="1"/>
    </xf>
    <xf numFmtId="176" fontId="23" fillId="0" borderId="0" xfId="0" applyNumberFormat="1" applyFont="1" applyFill="1" applyBorder="1" applyAlignment="1">
      <alignment horizontal="right" vertical="center" wrapText="1"/>
    </xf>
    <xf numFmtId="49" fontId="29" fillId="0" borderId="26" xfId="0" applyNumberFormat="1" applyFont="1" applyFill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 wrapText="1"/>
    </xf>
    <xf numFmtId="180" fontId="37" fillId="0" borderId="1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180" fontId="37" fillId="0" borderId="1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76" fontId="37" fillId="0" borderId="1" xfId="0" applyNumberFormat="1" applyFont="1" applyFill="1" applyBorder="1" applyAlignment="1">
      <alignment horizontal="center" vertical="center" wrapText="1"/>
    </xf>
    <xf numFmtId="180" fontId="38" fillId="0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 applyProtection="1">
      <alignment horizontal="left" vertical="center" wrapText="1"/>
    </xf>
    <xf numFmtId="0" fontId="32" fillId="2" borderId="1" xfId="0" applyFont="1" applyFill="1" applyBorder="1" applyAlignment="1" applyProtection="1">
      <alignment horizontal="center" vertical="center" wrapText="1"/>
    </xf>
    <xf numFmtId="176" fontId="28" fillId="2" borderId="1" xfId="0" applyNumberFormat="1" applyFont="1" applyFill="1" applyBorder="1" applyAlignment="1" applyProtection="1">
      <alignment horizontal="right" vertical="center" wrapText="1"/>
    </xf>
    <xf numFmtId="0" fontId="28" fillId="2" borderId="1" xfId="0" applyNumberFormat="1" applyFont="1" applyFill="1" applyBorder="1" applyAlignment="1">
      <alignment horizontal="right" vertical="center" wrapText="1"/>
    </xf>
    <xf numFmtId="176" fontId="40" fillId="2" borderId="1" xfId="0" applyNumberFormat="1" applyFont="1" applyFill="1" applyBorder="1" applyAlignment="1">
      <alignment horizontal="right" vertical="center" wrapText="1"/>
    </xf>
    <xf numFmtId="180" fontId="40" fillId="2" borderId="1" xfId="0" applyNumberFormat="1" applyFont="1" applyFill="1" applyBorder="1" applyAlignment="1">
      <alignment horizontal="right" vertical="center" wrapText="1"/>
    </xf>
    <xf numFmtId="0" fontId="28" fillId="2" borderId="1" xfId="0" applyFont="1" applyFill="1" applyBorder="1" applyAlignment="1" applyProtection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2" borderId="1" xfId="0" applyNumberFormat="1" applyFont="1" applyFill="1" applyBorder="1" applyAlignment="1">
      <alignment horizontal="center" vertical="center" wrapText="1"/>
    </xf>
    <xf numFmtId="176" fontId="37" fillId="2" borderId="1" xfId="0" applyNumberFormat="1" applyFont="1" applyFill="1" applyBorder="1" applyAlignment="1">
      <alignment horizontal="right" vertical="center" wrapText="1"/>
    </xf>
    <xf numFmtId="180" fontId="37" fillId="2" borderId="1" xfId="0" applyNumberFormat="1" applyFont="1" applyFill="1" applyBorder="1" applyAlignment="1">
      <alignment horizontal="right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 applyProtection="1">
      <alignment horizontal="left" vertical="center" wrapText="1"/>
    </xf>
    <xf numFmtId="0" fontId="32" fillId="0" borderId="1" xfId="0" applyFont="1" applyFill="1" applyBorder="1" applyAlignment="1" applyProtection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0" fontId="32" fillId="0" borderId="1" xfId="0" applyNumberFormat="1" applyFont="1" applyFill="1" applyBorder="1" applyAlignment="1">
      <alignment horizontal="center" vertical="center" wrapText="1"/>
    </xf>
    <xf numFmtId="176" fontId="40" fillId="0" borderId="1" xfId="0" applyNumberFormat="1" applyFont="1" applyFill="1" applyBorder="1" applyAlignment="1">
      <alignment horizontal="right" vertical="center" wrapText="1"/>
    </xf>
    <xf numFmtId="180" fontId="40" fillId="0" borderId="1" xfId="0" applyNumberFormat="1" applyFont="1" applyFill="1" applyBorder="1" applyAlignment="1">
      <alignment horizontal="righ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 applyProtection="1">
      <alignment horizontal="left" vertical="center" wrapText="1"/>
    </xf>
    <xf numFmtId="180" fontId="40" fillId="3" borderId="1" xfId="0" applyNumberFormat="1" applyFont="1" applyFill="1" applyBorder="1" applyAlignment="1">
      <alignment horizontal="right" vertical="center" wrapText="1"/>
    </xf>
    <xf numFmtId="177" fontId="40" fillId="0" borderId="1" xfId="0" applyNumberFormat="1" applyFont="1" applyFill="1" applyBorder="1" applyAlignment="1">
      <alignment horizontal="right" vertical="center" wrapText="1"/>
    </xf>
    <xf numFmtId="177" fontId="32" fillId="0" borderId="1" xfId="0" applyNumberFormat="1" applyFont="1" applyFill="1" applyBorder="1" applyAlignment="1">
      <alignment horizontal="center" vertical="center"/>
    </xf>
    <xf numFmtId="177" fontId="32" fillId="0" borderId="1" xfId="0" applyNumberFormat="1" applyFont="1" applyFill="1" applyBorder="1" applyAlignment="1">
      <alignment horizontal="center" vertical="center" wrapText="1"/>
    </xf>
    <xf numFmtId="177" fontId="40" fillId="3" borderId="1" xfId="0" applyNumberFormat="1" applyFont="1" applyFill="1" applyBorder="1" applyAlignment="1">
      <alignment horizontal="right" vertical="center" wrapText="1"/>
    </xf>
    <xf numFmtId="178" fontId="36" fillId="0" borderId="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/>
    <xf numFmtId="178" fontId="29" fillId="0" borderId="1" xfId="0" applyNumberFormat="1" applyFont="1" applyFill="1" applyBorder="1" applyAlignment="1">
      <alignment horizontal="center" vertical="center" wrapText="1"/>
    </xf>
    <xf numFmtId="178" fontId="28" fillId="0" borderId="1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Alignment="1"/>
    <xf numFmtId="178" fontId="32" fillId="2" borderId="1" xfId="0" applyNumberFormat="1" applyFont="1" applyFill="1" applyBorder="1" applyAlignment="1">
      <alignment horizontal="center" vertical="center" wrapText="1"/>
    </xf>
    <xf numFmtId="176" fontId="29" fillId="0" borderId="0" xfId="0" applyNumberFormat="1" applyFont="1" applyFill="1" applyAlignment="1"/>
    <xf numFmtId="178" fontId="28" fillId="2" borderId="1" xfId="0" applyNumberFormat="1" applyFont="1" applyFill="1" applyBorder="1" applyAlignment="1">
      <alignment horizontal="right" wrapText="1"/>
    </xf>
    <xf numFmtId="176" fontId="32" fillId="0" borderId="0" xfId="0" applyNumberFormat="1" applyFont="1" applyFill="1" applyBorder="1" applyAlignment="1">
      <alignment horizontal="center"/>
    </xf>
    <xf numFmtId="178" fontId="41" fillId="0" borderId="1" xfId="0" applyNumberFormat="1" applyFont="1" applyFill="1" applyBorder="1" applyAlignment="1">
      <alignment horizontal="right" vertical="center" wrapText="1"/>
    </xf>
    <xf numFmtId="178" fontId="32" fillId="0" borderId="1" xfId="0" applyNumberFormat="1" applyFont="1" applyFill="1" applyBorder="1" applyAlignment="1">
      <alignment horizontal="right" wrapText="1"/>
    </xf>
    <xf numFmtId="176" fontId="5" fillId="0" borderId="0" xfId="0" applyNumberFormat="1" applyFont="1" applyFill="1" applyBorder="1" applyAlignment="1">
      <alignment horizontal="center" vertical="center"/>
    </xf>
    <xf numFmtId="178" fontId="42" fillId="0" borderId="1" xfId="0" applyNumberFormat="1" applyFont="1" applyFill="1" applyBorder="1" applyAlignment="1">
      <alignment horizontal="center" vertical="center" wrapText="1"/>
    </xf>
    <xf numFmtId="178" fontId="41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180" fontId="37" fillId="0" borderId="1" xfId="0" applyNumberFormat="1" applyFont="1" applyFill="1" applyBorder="1" applyAlignment="1">
      <alignment horizontal="right" vertical="center" wrapText="1"/>
    </xf>
    <xf numFmtId="0" fontId="32" fillId="0" borderId="1" xfId="0" applyNumberFormat="1" applyFont="1" applyFill="1" applyBorder="1" applyAlignment="1">
      <alignment horizontal="right" vertical="center" wrapText="1"/>
    </xf>
    <xf numFmtId="178" fontId="41" fillId="0" borderId="1" xfId="0" applyNumberFormat="1" applyFont="1" applyFill="1" applyBorder="1" applyAlignment="1">
      <alignment vertical="center" wrapText="1"/>
    </xf>
    <xf numFmtId="178" fontId="39" fillId="0" borderId="1" xfId="0" applyNumberFormat="1" applyFont="1" applyFill="1" applyBorder="1" applyAlignment="1">
      <alignment horizontal="right" vertical="center" wrapText="1"/>
    </xf>
    <xf numFmtId="178" fontId="40" fillId="0" borderId="1" xfId="0" applyNumberFormat="1" applyFont="1" applyFill="1" applyBorder="1" applyAlignment="1">
      <alignment vertical="center" wrapText="1"/>
    </xf>
    <xf numFmtId="0" fontId="34" fillId="0" borderId="0" xfId="0" applyFont="1" applyFill="1" applyBorder="1" applyAlignment="1"/>
    <xf numFmtId="0" fontId="43" fillId="0" borderId="0" xfId="0" applyFont="1" applyFill="1" applyBorder="1" applyAlignment="1"/>
    <xf numFmtId="0" fontId="4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76" fontId="5" fillId="0" borderId="0" xfId="0" applyNumberFormat="1" applyFont="1" applyFill="1" applyBorder="1" applyAlignment="1">
      <alignment horizontal="right"/>
    </xf>
    <xf numFmtId="176" fontId="29" fillId="0" borderId="0" xfId="0" applyNumberFormat="1" applyFont="1" applyFill="1" applyBorder="1" applyAlignment="1">
      <alignment horizontal="right"/>
    </xf>
    <xf numFmtId="176" fontId="26" fillId="0" borderId="0" xfId="0" applyNumberFormat="1" applyFont="1" applyFill="1" applyBorder="1" applyAlignment="1">
      <alignment horizontal="right" vertical="center"/>
    </xf>
    <xf numFmtId="180" fontId="45" fillId="0" borderId="0" xfId="0" applyNumberFormat="1" applyFont="1" applyFill="1" applyBorder="1" applyAlignment="1">
      <alignment horizontal="right"/>
    </xf>
    <xf numFmtId="176" fontId="45" fillId="0" borderId="0" xfId="0" applyNumberFormat="1" applyFont="1" applyFill="1" applyBorder="1" applyAlignment="1">
      <alignment horizontal="right"/>
    </xf>
    <xf numFmtId="178" fontId="41" fillId="0" borderId="0" xfId="0" applyNumberFormat="1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center" vertical="center" wrapText="1"/>
    </xf>
    <xf numFmtId="176" fontId="47" fillId="0" borderId="0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176" fontId="28" fillId="0" borderId="1" xfId="0" applyNumberFormat="1" applyFont="1" applyFill="1" applyBorder="1" applyAlignment="1">
      <alignment horizontal="center" vertical="center"/>
    </xf>
    <xf numFmtId="176" fontId="28" fillId="0" borderId="1" xfId="0" applyNumberFormat="1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vertical="center" wrapText="1"/>
    </xf>
    <xf numFmtId="0" fontId="28" fillId="4" borderId="1" xfId="0" applyFont="1" applyFill="1" applyBorder="1" applyAlignment="1" applyProtection="1">
      <alignment horizontal="center" vertical="center" wrapText="1"/>
    </xf>
    <xf numFmtId="176" fontId="28" fillId="4" borderId="1" xfId="0" applyNumberFormat="1" applyFont="1" applyFill="1" applyBorder="1" applyAlignment="1" applyProtection="1">
      <alignment horizontal="right" vertical="center" wrapText="1"/>
    </xf>
    <xf numFmtId="176" fontId="28" fillId="4" borderId="1" xfId="0" applyNumberFormat="1" applyFont="1" applyFill="1" applyBorder="1" applyAlignment="1">
      <alignment horizontal="right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vertical="center" wrapText="1"/>
    </xf>
    <xf numFmtId="0" fontId="32" fillId="5" borderId="1" xfId="0" applyFont="1" applyFill="1" applyBorder="1" applyAlignment="1" applyProtection="1">
      <alignment horizontal="center" vertical="center" wrapText="1"/>
    </xf>
    <xf numFmtId="176" fontId="32" fillId="5" borderId="1" xfId="0" applyNumberFormat="1" applyFont="1" applyFill="1" applyBorder="1" applyAlignment="1" applyProtection="1">
      <alignment horizontal="right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vertical="center" wrapText="1"/>
    </xf>
    <xf numFmtId="0" fontId="44" fillId="0" borderId="1" xfId="0" applyFont="1" applyFill="1" applyBorder="1" applyAlignment="1" applyProtection="1">
      <alignment horizontal="center" vertical="center" wrapText="1"/>
    </xf>
    <xf numFmtId="176" fontId="32" fillId="0" borderId="1" xfId="0" applyNumberFormat="1" applyFont="1" applyFill="1" applyBorder="1" applyAlignment="1" applyProtection="1">
      <alignment horizontal="right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vertical="center" wrapText="1"/>
    </xf>
    <xf numFmtId="0" fontId="28" fillId="5" borderId="1" xfId="0" applyFont="1" applyFill="1" applyBorder="1" applyAlignment="1" applyProtection="1">
      <alignment horizontal="center" vertical="center" wrapText="1"/>
    </xf>
    <xf numFmtId="176" fontId="28" fillId="5" borderId="1" xfId="0" applyNumberFormat="1" applyFont="1" applyFill="1" applyBorder="1" applyAlignment="1" applyProtection="1">
      <alignment horizontal="righ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vertical="center" wrapText="1"/>
    </xf>
    <xf numFmtId="181" fontId="32" fillId="0" borderId="1" xfId="0" applyNumberFormat="1" applyFont="1" applyFill="1" applyBorder="1" applyAlignment="1" applyProtection="1">
      <alignment horizontal="right" vertical="center" wrapText="1"/>
    </xf>
    <xf numFmtId="176" fontId="44" fillId="0" borderId="1" xfId="0" applyNumberFormat="1" applyFont="1" applyFill="1" applyBorder="1" applyAlignment="1" applyProtection="1">
      <alignment horizontal="right" vertical="center" wrapText="1"/>
    </xf>
    <xf numFmtId="176" fontId="48" fillId="0" borderId="0" xfId="0" applyNumberFormat="1" applyFont="1" applyFill="1" applyBorder="1" applyAlignment="1">
      <alignment horizontal="right" vertical="center" wrapText="1"/>
    </xf>
    <xf numFmtId="176" fontId="28" fillId="0" borderId="1" xfId="0" applyNumberFormat="1" applyFont="1" applyFill="1" applyBorder="1" applyAlignment="1">
      <alignment horizontal="right" vertical="center" wrapText="1"/>
    </xf>
    <xf numFmtId="176" fontId="37" fillId="4" borderId="1" xfId="0" applyNumberFormat="1" applyFont="1" applyFill="1" applyBorder="1" applyAlignment="1">
      <alignment horizontal="right" vertical="center"/>
    </xf>
    <xf numFmtId="176" fontId="49" fillId="4" borderId="1" xfId="0" applyNumberFormat="1" applyFont="1" applyFill="1" applyBorder="1" applyAlignment="1">
      <alignment horizontal="right" vertical="center"/>
    </xf>
    <xf numFmtId="176" fontId="32" fillId="5" borderId="1" xfId="0" applyNumberFormat="1" applyFont="1" applyFill="1" applyBorder="1" applyAlignment="1">
      <alignment horizontal="right" vertical="center" wrapText="1"/>
    </xf>
    <xf numFmtId="176" fontId="44" fillId="5" borderId="1" xfId="0" applyNumberFormat="1" applyFont="1" applyFill="1" applyBorder="1" applyAlignment="1">
      <alignment horizontal="right" vertical="center"/>
    </xf>
    <xf numFmtId="176" fontId="32" fillId="0" borderId="1" xfId="0" applyNumberFormat="1" applyFont="1" applyFill="1" applyBorder="1" applyAlignment="1">
      <alignment horizontal="right" vertical="center" wrapText="1"/>
    </xf>
    <xf numFmtId="176" fontId="44" fillId="0" borderId="1" xfId="0" applyNumberFormat="1" applyFont="1" applyFill="1" applyBorder="1" applyAlignment="1">
      <alignment horizontal="right" vertical="center"/>
    </xf>
    <xf numFmtId="176" fontId="44" fillId="5" borderId="1" xfId="0" applyNumberFormat="1" applyFont="1" applyFill="1" applyBorder="1" applyAlignment="1" applyProtection="1">
      <alignment horizontal="right" vertical="center" wrapText="1"/>
    </xf>
    <xf numFmtId="176" fontId="28" fillId="5" borderId="1" xfId="0" applyNumberFormat="1" applyFont="1" applyFill="1" applyBorder="1" applyAlignment="1">
      <alignment horizontal="right" vertical="center" wrapText="1"/>
    </xf>
    <xf numFmtId="176" fontId="49" fillId="5" borderId="1" xfId="0" applyNumberFormat="1" applyFont="1" applyFill="1" applyBorder="1" applyAlignment="1">
      <alignment horizontal="right" vertical="center"/>
    </xf>
    <xf numFmtId="177" fontId="44" fillId="0" borderId="1" xfId="0" applyNumberFormat="1" applyFont="1" applyFill="1" applyBorder="1" applyAlignment="1">
      <alignment horizontal="right" vertical="center"/>
    </xf>
    <xf numFmtId="176" fontId="44" fillId="0" borderId="1" xfId="0" applyNumberFormat="1" applyFont="1" applyFill="1" applyBorder="1" applyAlignment="1">
      <alignment horizontal="right" vertical="center" wrapText="1"/>
    </xf>
    <xf numFmtId="180" fontId="50" fillId="0" borderId="0" xfId="0" applyNumberFormat="1" applyFont="1" applyFill="1" applyBorder="1" applyAlignment="1">
      <alignment horizontal="right" vertical="center" wrapText="1"/>
    </xf>
    <xf numFmtId="176" fontId="50" fillId="0" borderId="0" xfId="0" applyNumberFormat="1" applyFont="1" applyFill="1" applyBorder="1" applyAlignment="1">
      <alignment horizontal="right" vertical="center" wrapText="1"/>
    </xf>
    <xf numFmtId="178" fontId="39" fillId="0" borderId="0" xfId="0" applyNumberFormat="1" applyFont="1" applyFill="1" applyBorder="1" applyAlignment="1">
      <alignment horizontal="center" vertical="center" wrapText="1"/>
    </xf>
    <xf numFmtId="176" fontId="25" fillId="0" borderId="0" xfId="0" applyNumberFormat="1" applyFont="1" applyFill="1" applyAlignment="1">
      <alignment horizontal="right" vertical="center" wrapText="1"/>
    </xf>
    <xf numFmtId="0" fontId="51" fillId="0" borderId="0" xfId="0" applyFont="1" applyFill="1" applyAlignment="1">
      <alignment horizontal="left" vertical="center" wrapText="1"/>
    </xf>
    <xf numFmtId="182" fontId="28" fillId="0" borderId="1" xfId="0" applyNumberFormat="1" applyFont="1" applyFill="1" applyBorder="1" applyAlignment="1" applyProtection="1">
      <alignment horizontal="center" vertical="center" wrapText="1"/>
    </xf>
    <xf numFmtId="178" fontId="39" fillId="0" borderId="1" xfId="0" applyNumberFormat="1" applyFont="1" applyFill="1" applyBorder="1" applyAlignment="1">
      <alignment horizontal="center" vertical="center" wrapText="1"/>
    </xf>
    <xf numFmtId="180" fontId="49" fillId="4" borderId="1" xfId="0" applyNumberFormat="1" applyFont="1" applyFill="1" applyBorder="1" applyAlignment="1">
      <alignment horizontal="right" vertical="center" wrapText="1"/>
    </xf>
    <xf numFmtId="176" fontId="49" fillId="4" borderId="1" xfId="0" applyNumberFormat="1" applyFont="1" applyFill="1" applyBorder="1" applyAlignment="1">
      <alignment horizontal="right" vertical="center" wrapText="1"/>
    </xf>
    <xf numFmtId="180" fontId="39" fillId="4" borderId="1" xfId="0" applyNumberFormat="1" applyFont="1" applyFill="1" applyBorder="1" applyAlignment="1">
      <alignment horizontal="center" vertical="center" wrapText="1"/>
    </xf>
    <xf numFmtId="0" fontId="39" fillId="4" borderId="1" xfId="0" applyFont="1" applyFill="1" applyBorder="1" applyAlignment="1">
      <alignment horizontal="center"/>
    </xf>
    <xf numFmtId="180" fontId="44" fillId="5" borderId="1" xfId="0" applyNumberFormat="1" applyFont="1" applyFill="1" applyBorder="1" applyAlignment="1">
      <alignment horizontal="right" vertical="center" wrapText="1"/>
    </xf>
    <xf numFmtId="0" fontId="41" fillId="5" borderId="1" xfId="0" applyFont="1" applyFill="1" applyBorder="1" applyAlignment="1">
      <alignment horizontal="center"/>
    </xf>
    <xf numFmtId="180" fontId="41" fillId="0" borderId="1" xfId="0" applyNumberFormat="1" applyFont="1" applyFill="1" applyBorder="1" applyAlignment="1">
      <alignment horizontal="center" vertical="center" wrapText="1"/>
    </xf>
    <xf numFmtId="180" fontId="44" fillId="0" borderId="1" xfId="0" applyNumberFormat="1" applyFont="1" applyFill="1" applyBorder="1" applyAlignment="1">
      <alignment horizontal="right" vertical="center" wrapText="1"/>
    </xf>
    <xf numFmtId="176" fontId="44" fillId="5" borderId="1" xfId="0" applyNumberFormat="1" applyFont="1" applyFill="1" applyBorder="1" applyAlignment="1">
      <alignment horizontal="right" vertical="center" wrapText="1"/>
    </xf>
    <xf numFmtId="0" fontId="41" fillId="5" borderId="1" xfId="0" applyFont="1" applyFill="1" applyBorder="1" applyAlignment="1">
      <alignment horizontal="center" vertical="center"/>
    </xf>
    <xf numFmtId="0" fontId="39" fillId="4" borderId="1" xfId="0" applyFont="1" applyFill="1" applyBorder="1" applyAlignment="1">
      <alignment horizontal="center" vertical="center"/>
    </xf>
    <xf numFmtId="180" fontId="49" fillId="5" borderId="1" xfId="0" applyNumberFormat="1" applyFont="1" applyFill="1" applyBorder="1" applyAlignment="1">
      <alignment horizontal="right" vertical="center" wrapText="1"/>
    </xf>
    <xf numFmtId="0" fontId="39" fillId="5" borderId="1" xfId="0" applyFont="1" applyFill="1" applyBorder="1" applyAlignment="1">
      <alignment horizontal="center" vertical="center"/>
    </xf>
    <xf numFmtId="182" fontId="32" fillId="0" borderId="1" xfId="0" applyNumberFormat="1" applyFont="1" applyFill="1" applyBorder="1" applyAlignment="1" applyProtection="1">
      <alignment horizontal="right" vertical="center" wrapText="1"/>
    </xf>
    <xf numFmtId="178" fontId="52" fillId="0" borderId="1" xfId="0" applyNumberFormat="1" applyFont="1" applyFill="1" applyBorder="1" applyAlignment="1">
      <alignment horizontal="center" vertical="center" wrapText="1"/>
    </xf>
    <xf numFmtId="178" fontId="41" fillId="5" borderId="1" xfId="0" applyNumberFormat="1" applyFont="1" applyFill="1" applyBorder="1" applyAlignment="1">
      <alignment horizontal="center" vertical="center" wrapText="1"/>
    </xf>
    <xf numFmtId="176" fontId="44" fillId="0" borderId="0" xfId="0" applyNumberFormat="1" applyFont="1" applyFill="1" applyBorder="1" applyAlignment="1">
      <alignment horizontal="center"/>
    </xf>
    <xf numFmtId="178" fontId="39" fillId="5" borderId="1" xfId="0" applyNumberFormat="1" applyFont="1" applyFill="1" applyBorder="1" applyAlignment="1">
      <alignment horizontal="center" vertical="center" wrapText="1"/>
    </xf>
    <xf numFmtId="177" fontId="32" fillId="0" borderId="1" xfId="0" applyNumberFormat="1" applyFont="1" applyFill="1" applyBorder="1" applyAlignment="1" applyProtection="1">
      <alignment horizontal="right" vertical="center" wrapText="1"/>
    </xf>
    <xf numFmtId="0" fontId="53" fillId="0" borderId="1" xfId="0" applyFont="1" applyFill="1" applyBorder="1" applyAlignment="1">
      <alignment vertical="center" wrapText="1"/>
    </xf>
    <xf numFmtId="176" fontId="28" fillId="0" borderId="1" xfId="0" applyNumberFormat="1" applyFont="1" applyFill="1" applyBorder="1" applyAlignment="1" applyProtection="1">
      <alignment horizontal="right" vertical="center" wrapText="1"/>
    </xf>
    <xf numFmtId="0" fontId="28" fillId="4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176" fontId="49" fillId="5" borderId="1" xfId="0" applyNumberFormat="1" applyFont="1" applyFill="1" applyBorder="1" applyAlignment="1" applyProtection="1">
      <alignment horizontal="right" vertical="center" wrapText="1"/>
    </xf>
    <xf numFmtId="176" fontId="49" fillId="0" borderId="1" xfId="0" applyNumberFormat="1" applyFont="1" applyFill="1" applyBorder="1" applyAlignment="1">
      <alignment horizontal="right" vertical="center"/>
    </xf>
    <xf numFmtId="176" fontId="49" fillId="5" borderId="1" xfId="0" applyNumberFormat="1" applyFont="1" applyFill="1" applyBorder="1" applyAlignment="1">
      <alignment horizontal="right" vertical="center" wrapText="1"/>
    </xf>
    <xf numFmtId="178" fontId="39" fillId="4" borderId="1" xfId="0" applyNumberFormat="1" applyFont="1" applyFill="1" applyBorder="1" applyAlignment="1">
      <alignment horizontal="center" vertical="center" wrapText="1"/>
    </xf>
    <xf numFmtId="182" fontId="28" fillId="4" borderId="1" xfId="0" applyNumberFormat="1" applyFont="1" applyFill="1" applyBorder="1" applyAlignment="1" applyProtection="1">
      <alignment horizontal="right" vertical="center" wrapText="1"/>
    </xf>
    <xf numFmtId="0" fontId="28" fillId="4" borderId="1" xfId="0" applyFont="1" applyFill="1" applyBorder="1" applyAlignment="1" applyProtection="1">
      <alignment horizontal="left" vertical="center" wrapText="1"/>
    </xf>
    <xf numFmtId="176" fontId="49" fillId="4" borderId="22" xfId="0" applyNumberFormat="1" applyFont="1" applyFill="1" applyBorder="1" applyAlignment="1" applyProtection="1">
      <alignment horizontal="right" vertical="center" wrapText="1"/>
    </xf>
    <xf numFmtId="176" fontId="49" fillId="4" borderId="27" xfId="0" applyNumberFormat="1" applyFont="1" applyFill="1" applyBorder="1" applyAlignment="1" applyProtection="1">
      <alignment horizontal="right" vertical="center" wrapText="1"/>
    </xf>
    <xf numFmtId="176" fontId="28" fillId="4" borderId="25" xfId="0" applyNumberFormat="1" applyFont="1" applyFill="1" applyBorder="1" applyAlignment="1" applyProtection="1">
      <alignment horizontal="right" vertical="center" wrapText="1"/>
    </xf>
    <xf numFmtId="1" fontId="28" fillId="0" borderId="1" xfId="0" applyNumberFormat="1" applyFont="1" applyFill="1" applyBorder="1" applyAlignment="1" applyProtection="1">
      <alignment horizontal="center" vertical="center" wrapText="1"/>
    </xf>
    <xf numFmtId="176" fontId="28" fillId="0" borderId="22" xfId="0" applyNumberFormat="1" applyFont="1" applyFill="1" applyBorder="1" applyAlignment="1" applyProtection="1">
      <alignment horizontal="right" vertical="center" wrapText="1"/>
    </xf>
    <xf numFmtId="176" fontId="28" fillId="0" borderId="27" xfId="0" applyNumberFormat="1" applyFont="1" applyFill="1" applyBorder="1" applyAlignment="1" applyProtection="1">
      <alignment horizontal="right" vertical="center" wrapText="1"/>
    </xf>
    <xf numFmtId="176" fontId="28" fillId="0" borderId="25" xfId="0" applyNumberFormat="1" applyFont="1" applyFill="1" applyBorder="1" applyAlignment="1" applyProtection="1">
      <alignment horizontal="right" vertical="center" wrapText="1"/>
    </xf>
    <xf numFmtId="0" fontId="28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 applyProtection="1">
      <alignment horizontal="center" vertical="center" wrapText="1"/>
    </xf>
    <xf numFmtId="176" fontId="28" fillId="0" borderId="0" xfId="0" applyNumberFormat="1" applyFont="1" applyFill="1" applyBorder="1" applyAlignment="1" applyProtection="1">
      <alignment horizontal="right" vertical="center" wrapText="1"/>
    </xf>
    <xf numFmtId="176" fontId="28" fillId="0" borderId="0" xfId="0" applyNumberFormat="1" applyFont="1" applyFill="1" applyBorder="1" applyAlignment="1">
      <alignment horizontal="right" vertical="center" wrapText="1"/>
    </xf>
    <xf numFmtId="183" fontId="28" fillId="0" borderId="0" xfId="0" applyNumberFormat="1" applyFont="1" applyFill="1" applyBorder="1" applyAlignment="1" applyProtection="1">
      <alignment horizontal="right" vertical="center" wrapText="1"/>
    </xf>
    <xf numFmtId="176" fontId="54" fillId="0" borderId="0" xfId="0" applyNumberFormat="1" applyFont="1" applyFill="1" applyBorder="1" applyAlignment="1" applyProtection="1">
      <alignment horizontal="right" vertical="center" wrapText="1"/>
    </xf>
    <xf numFmtId="176" fontId="28" fillId="4" borderId="22" xfId="0" applyNumberFormat="1" applyFont="1" applyFill="1" applyBorder="1" applyAlignment="1" applyProtection="1">
      <alignment horizontal="right" vertical="center" wrapText="1"/>
    </xf>
    <xf numFmtId="176" fontId="28" fillId="4" borderId="27" xfId="0" applyNumberFormat="1" applyFont="1" applyFill="1" applyBorder="1" applyAlignment="1" applyProtection="1">
      <alignment horizontal="right" vertical="center" wrapText="1"/>
    </xf>
    <xf numFmtId="2" fontId="29" fillId="0" borderId="25" xfId="0" applyNumberFormat="1" applyFont="1" applyFill="1" applyBorder="1" applyAlignment="1" applyProtection="1">
      <alignment vertical="center" wrapText="1"/>
    </xf>
    <xf numFmtId="176" fontId="29" fillId="0" borderId="25" xfId="0" applyNumberFormat="1" applyFont="1" applyFill="1" applyBorder="1" applyAlignment="1" applyProtection="1">
      <alignment vertical="center" wrapText="1"/>
    </xf>
    <xf numFmtId="176" fontId="37" fillId="0" borderId="0" xfId="0" applyNumberFormat="1" applyFont="1" applyFill="1" applyBorder="1" applyAlignment="1">
      <alignment horizontal="right" vertical="center"/>
    </xf>
    <xf numFmtId="178" fontId="41" fillId="0" borderId="26" xfId="0" applyNumberFormat="1" applyFont="1" applyFill="1" applyBorder="1" applyAlignment="1">
      <alignment horizontal="center" vertical="center" wrapText="1"/>
    </xf>
    <xf numFmtId="178" fontId="41" fillId="0" borderId="28" xfId="0" applyNumberFormat="1" applyFont="1" applyFill="1" applyBorder="1" applyAlignment="1">
      <alignment horizontal="center" vertical="center" wrapText="1"/>
    </xf>
    <xf numFmtId="178" fontId="41" fillId="0" borderId="5" xfId="0" applyNumberFormat="1" applyFont="1" applyFill="1" applyBorder="1" applyAlignment="1">
      <alignment horizontal="center" vertical="center" wrapText="1"/>
    </xf>
    <xf numFmtId="176" fontId="37" fillId="4" borderId="25" xfId="0" applyNumberFormat="1" applyFont="1" applyFill="1" applyBorder="1" applyAlignment="1" applyProtection="1">
      <alignment horizontal="right" vertical="center" wrapText="1"/>
    </xf>
    <xf numFmtId="176" fontId="49" fillId="0" borderId="1" xfId="0" applyNumberFormat="1" applyFont="1" applyFill="1" applyBorder="1" applyAlignment="1">
      <alignment horizontal="right" vertical="center" wrapText="1"/>
    </xf>
    <xf numFmtId="176" fontId="34" fillId="0" borderId="0" xfId="0" applyNumberFormat="1" applyFont="1" applyFill="1" applyBorder="1" applyAlignment="1">
      <alignment horizontal="center"/>
    </xf>
    <xf numFmtId="176" fontId="37" fillId="0" borderId="0" xfId="0" applyNumberFormat="1" applyFont="1" applyFill="1" applyBorder="1" applyAlignment="1" applyProtection="1">
      <alignment horizontal="right" vertical="center" wrapText="1"/>
    </xf>
    <xf numFmtId="180" fontId="49" fillId="0" borderId="0" xfId="0" applyNumberFormat="1" applyFont="1" applyFill="1" applyBorder="1" applyAlignment="1">
      <alignment horizontal="right" vertical="center" wrapText="1"/>
    </xf>
    <xf numFmtId="176" fontId="49" fillId="0" borderId="0" xfId="0" applyNumberFormat="1" applyFont="1" applyFill="1" applyBorder="1" applyAlignment="1">
      <alignment horizontal="right" vertical="center" wrapText="1"/>
    </xf>
    <xf numFmtId="176" fontId="49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180" fontId="0" fillId="0" borderId="0" xfId="0" applyNumberFormat="1" applyFill="1" applyAlignment="1">
      <alignment horizontal="right" vertical="center"/>
    </xf>
    <xf numFmtId="176" fontId="0" fillId="0" borderId="0" xfId="0" applyNumberFormat="1" applyFill="1" applyAlignment="1">
      <alignment horizontal="right" vertic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/>
    </xf>
    <xf numFmtId="176" fontId="29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6" fontId="10" fillId="0" borderId="22" xfId="0" applyNumberFormat="1" applyFont="1" applyFill="1" applyBorder="1" applyAlignment="1">
      <alignment horizontal="right" vertical="center" wrapText="1"/>
    </xf>
    <xf numFmtId="176" fontId="10" fillId="0" borderId="25" xfId="0" applyNumberFormat="1" applyFont="1" applyFill="1" applyBorder="1" applyAlignment="1">
      <alignment horizontal="right" vertical="center" wrapText="1"/>
    </xf>
    <xf numFmtId="176" fontId="5" fillId="0" borderId="22" xfId="0" applyNumberFormat="1" applyFont="1" applyFill="1" applyBorder="1" applyAlignment="1">
      <alignment horizontal="right" vertical="center" wrapText="1"/>
    </xf>
    <xf numFmtId="176" fontId="5" fillId="0" borderId="25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176" fontId="29" fillId="0" borderId="22" xfId="0" applyNumberFormat="1" applyFont="1" applyFill="1" applyBorder="1" applyAlignment="1">
      <alignment horizontal="right" vertical="center" wrapText="1"/>
    </xf>
    <xf numFmtId="176" fontId="29" fillId="0" borderId="25" xfId="0" applyNumberFormat="1" applyFont="1" applyFill="1" applyBorder="1" applyAlignment="1">
      <alignment horizontal="right" vertical="center" wrapText="1"/>
    </xf>
    <xf numFmtId="176" fontId="27" fillId="0" borderId="22" xfId="0" applyNumberFormat="1" applyFont="1" applyFill="1" applyBorder="1" applyAlignment="1">
      <alignment horizontal="right" vertical="center" wrapText="1"/>
    </xf>
    <xf numFmtId="176" fontId="27" fillId="0" borderId="25" xfId="0" applyNumberFormat="1" applyFont="1" applyFill="1" applyBorder="1" applyAlignment="1">
      <alignment horizontal="right" vertical="center" wrapText="1"/>
    </xf>
    <xf numFmtId="176" fontId="36" fillId="0" borderId="0" xfId="0" applyNumberFormat="1" applyFont="1" applyFill="1" applyBorder="1" applyAlignment="1">
      <alignment horizontal="center" vertical="center" wrapText="1"/>
    </xf>
    <xf numFmtId="176" fontId="28" fillId="0" borderId="0" xfId="0" applyNumberFormat="1" applyFont="1" applyFill="1" applyBorder="1" applyAlignment="1">
      <alignment horizontal="left" vertical="center" wrapText="1"/>
    </xf>
    <xf numFmtId="176" fontId="28" fillId="0" borderId="1" xfId="0" applyNumberFormat="1" applyFont="1" applyFill="1" applyBorder="1" applyAlignment="1">
      <alignment vertical="center" wrapText="1"/>
    </xf>
    <xf numFmtId="184" fontId="27" fillId="0" borderId="1" xfId="0" applyNumberFormat="1" applyFont="1" applyFill="1" applyBorder="1" applyAlignment="1">
      <alignment horizontal="center" vertical="center" wrapText="1"/>
    </xf>
    <xf numFmtId="180" fontId="10" fillId="0" borderId="1" xfId="0" applyNumberFormat="1" applyFont="1" applyFill="1" applyBorder="1" applyAlignment="1">
      <alignment horizontal="right" vertical="center" wrapText="1"/>
    </xf>
    <xf numFmtId="176" fontId="10" fillId="0" borderId="1" xfId="0" applyNumberFormat="1" applyFont="1" applyFill="1" applyBorder="1" applyAlignment="1">
      <alignment horizontal="right" vertical="center" wrapText="1"/>
    </xf>
    <xf numFmtId="184" fontId="10" fillId="0" borderId="1" xfId="0" applyNumberFormat="1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176" fontId="2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0" fontId="7" fillId="0" borderId="1" xfId="3" applyNumberFormat="1" applyFont="1" applyFill="1" applyBorder="1" applyAlignment="1">
      <alignment horizontal="center" vertical="center" wrapText="1"/>
    </xf>
    <xf numFmtId="0" fontId="34" fillId="0" borderId="0" xfId="53" applyFill="1" applyBorder="1" applyAlignment="1"/>
    <xf numFmtId="0" fontId="56" fillId="0" borderId="0" xfId="53" applyFont="1" applyFill="1" applyBorder="1" applyAlignment="1"/>
    <xf numFmtId="0" fontId="57" fillId="0" borderId="0" xfId="53" applyFont="1" applyFill="1" applyBorder="1" applyAlignment="1">
      <alignment horizontal="center" vertical="center" wrapText="1"/>
    </xf>
    <xf numFmtId="0" fontId="58" fillId="0" borderId="29" xfId="53" applyFont="1" applyFill="1" applyBorder="1" applyAlignment="1">
      <alignment horizontal="center" vertical="center" wrapText="1"/>
    </xf>
    <xf numFmtId="0" fontId="59" fillId="0" borderId="0" xfId="53" applyFont="1" applyFill="1" applyBorder="1" applyAlignment="1">
      <alignment horizontal="center" wrapText="1"/>
    </xf>
    <xf numFmtId="0" fontId="60" fillId="0" borderId="0" xfId="53" applyFont="1" applyFill="1" applyBorder="1" applyAlignment="1">
      <alignment horizontal="left" wrapText="1"/>
    </xf>
    <xf numFmtId="0" fontId="61" fillId="0" borderId="0" xfId="53" applyFont="1" applyFill="1" applyBorder="1" applyAlignment="1">
      <alignment horizontal="left" wrapText="1"/>
    </xf>
    <xf numFmtId="176" fontId="61" fillId="0" borderId="29" xfId="53" applyNumberFormat="1" applyFont="1" applyFill="1" applyBorder="1" applyAlignment="1">
      <alignment horizontal="center" wrapText="1"/>
    </xf>
    <xf numFmtId="182" fontId="61" fillId="0" borderId="29" xfId="53" applyNumberFormat="1" applyFont="1" applyFill="1" applyBorder="1" applyAlignment="1">
      <alignment horizontal="left" wrapText="1"/>
    </xf>
    <xf numFmtId="176" fontId="62" fillId="0" borderId="29" xfId="53" applyNumberFormat="1" applyFont="1" applyFill="1" applyBorder="1" applyAlignment="1">
      <alignment horizontal="center" wrapText="1"/>
    </xf>
    <xf numFmtId="0" fontId="61" fillId="0" borderId="29" xfId="53" applyFont="1" applyFill="1" applyBorder="1" applyAlignment="1">
      <alignment horizontal="center" wrapText="1"/>
    </xf>
    <xf numFmtId="0" fontId="61" fillId="0" borderId="0" xfId="53" applyFont="1" applyFill="1" applyBorder="1" applyAlignment="1">
      <alignment horizontal="center" vertical="center" wrapText="1"/>
    </xf>
    <xf numFmtId="0" fontId="63" fillId="0" borderId="0" xfId="53" applyFont="1" applyFill="1" applyBorder="1" applyAlignment="1">
      <alignment horizontal="left" wrapText="1"/>
    </xf>
    <xf numFmtId="0" fontId="64" fillId="0" borderId="0" xfId="53" applyFont="1" applyFill="1" applyBorder="1" applyAlignment="1">
      <alignment horizontal="left" wrapText="1"/>
    </xf>
    <xf numFmtId="176" fontId="61" fillId="0" borderId="0" xfId="53" applyNumberFormat="1" applyFont="1" applyFill="1" applyBorder="1" applyAlignment="1">
      <alignment horizontal="center" wrapText="1"/>
    </xf>
    <xf numFmtId="0" fontId="61" fillId="0" borderId="0" xfId="53" applyFont="1" applyFill="1" applyBorder="1" applyAlignment="1">
      <alignment horizontal="center" wrapText="1"/>
    </xf>
    <xf numFmtId="185" fontId="61" fillId="0" borderId="29" xfId="53" applyNumberFormat="1" applyFont="1" applyFill="1" applyBorder="1" applyAlignment="1">
      <alignment horizontal="center" wrapText="1"/>
    </xf>
    <xf numFmtId="185" fontId="65" fillId="0" borderId="29" xfId="53" applyNumberFormat="1" applyFont="1" applyFill="1" applyBorder="1" applyAlignment="1">
      <alignment horizontal="center" wrapText="1"/>
    </xf>
    <xf numFmtId="0" fontId="66" fillId="0" borderId="0" xfId="53" applyFont="1" applyFill="1" applyBorder="1" applyAlignment="1">
      <alignment horizontal="left" wrapText="1"/>
    </xf>
    <xf numFmtId="0" fontId="64" fillId="0" borderId="0" xfId="53" applyFont="1" applyFill="1" applyBorder="1" applyAlignment="1">
      <alignment horizontal="right" wrapText="1"/>
    </xf>
    <xf numFmtId="184" fontId="62" fillId="0" borderId="0" xfId="0" applyNumberFormat="1" applyFont="1" applyFill="1" applyBorder="1" applyAlignment="1" applyProtection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洪河农村水利田园化二期工程结算" xfId="49"/>
    <cellStyle name="常规 2" xfId="50"/>
    <cellStyle name="常规_Sheet1" xfId="51"/>
    <cellStyle name="常规_耕作道工程量" xfId="52"/>
    <cellStyle name="常规 3" xfId="53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2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3433;&#20840;&#39278;&#27700;&#24037;&#31243;&#65288;24&#20010;&#28857;&#65289;\&#24050;&#23436;&#25104;\1&#12289;&#21335;&#27743;&#21439;&#36214;&#22330;&#38215;&#37329;&#39585;&#26449;&#39278;&#27700;&#23433;&#20840;&#24037;&#31243;\&#23457;&#26680;&#36164;&#26009;\&#35745;&#31639;&#31295;\&#32467;&#31639;&#23457;&#26680;&#65293;&#21335;&#27743;&#21439;&#36214;&#22330;&#38215;&#37329;&#39585;&#26449;&#39278;&#27700;&#23433;&#20840;&#24037;&#31243;&#65288;&#21547;&#24037;&#31243;&#37327;&#35745;&#31639;&#31295;&#65289;9.8&#23545;&#37327;&#23545;&#2021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2467;&#31639;&#25991;&#20214;&#22841;&#65288;&#26032;&#65289;\2021&#24180;&#24230;\&#21335;&#27743;&#21439;&#23457;&#35745;&#23616;&#12304;&#23457;&#35745;&#22797;&#26680;&#12305;&#25991;&#20214;&#22841;\&#39278;&#27700;&#23433;&#20840;&#39033;&#30446;\&#23457;&#35745;&#22797;&#26680;&#24213;&#31295;\&#21335;&#20140;&#27704;&#36947;\14&#12289;&#21335;&#27743;&#21439;&#21644;&#24179;&#20065;&#22367;&#26753;&#23376;&#26449;&#39278;&#27700;&#23433;&#20840;&#24037;&#31243;\&#21335;&#27743;&#21439;&#21644;&#24179;&#38215;&#22367;&#26753;&#23376;&#26449;&#39278;&#27700;&#23433;&#20840;&#24037;&#31243;&#65288;&#32467;&#31639;&#23457;&#35745;&#22797;&#26680;&#24773;&#20917;&#20844;&#31034;&#21450;&#38468;&#34920;&#65289;\&#21335;&#27743;&#21439;&#27719;&#28393;&#20065;&#22823;&#22445;&#37324;&#26449;&#39278;&#27700;&#23433;&#20840;&#24037;&#31243;&#32467;&#31639;&#23457;&#35745;&#22797;&#26680;&#24773;&#20917;&#20844;&#3103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汇总表"/>
      <sheetName val="结算审核表"/>
      <sheetName val="工程量核对表"/>
      <sheetName val="工程量计算稿"/>
      <sheetName val="二转材料统计"/>
      <sheetName val="材料价格除税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汇总表"/>
      <sheetName val="结算审核表"/>
      <sheetName val="工程量核对表"/>
      <sheetName val="工程量计算稿"/>
      <sheetName val="材料价格除税表"/>
      <sheetName val="二转材料统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3"/>
  <sheetViews>
    <sheetView tabSelected="1" workbookViewId="0">
      <selection activeCell="V3" sqref="V3:AG3"/>
    </sheetView>
  </sheetViews>
  <sheetFormatPr defaultColWidth="9" defaultRowHeight="14.25"/>
  <cols>
    <col min="1" max="1" width="13.8833333333333" style="368" customWidth="1"/>
    <col min="2" max="3" width="0.133333333333333" style="368" customWidth="1"/>
    <col min="4" max="4" width="2.75" style="368" customWidth="1"/>
    <col min="5" max="5" width="1.63333333333333" style="368" customWidth="1"/>
    <col min="6" max="6" width="0.633333333333333" style="368" customWidth="1"/>
    <col min="7" max="7" width="0.133333333333333" style="368" customWidth="1"/>
    <col min="8" max="8" width="19.1333333333333" style="368" customWidth="1"/>
    <col min="9" max="9" width="0.133333333333333" style="368" customWidth="1"/>
    <col min="10" max="10" width="0.25" style="368" customWidth="1"/>
    <col min="11" max="11" width="8.63333333333333" style="368" customWidth="1"/>
    <col min="12" max="12" width="0.133333333333333" style="368" customWidth="1"/>
    <col min="13" max="13" width="4" style="368" customWidth="1"/>
    <col min="14" max="15" width="0.133333333333333" style="368" customWidth="1"/>
    <col min="16" max="16" width="0.5" style="368" customWidth="1"/>
    <col min="17" max="17" width="0.133333333333333" style="368" customWidth="1"/>
    <col min="18" max="18" width="4.13333333333333" style="368" customWidth="1"/>
    <col min="19" max="19" width="0.133333333333333" style="368" customWidth="1"/>
    <col min="20" max="20" width="0.25" style="368" customWidth="1"/>
    <col min="21" max="21" width="0.133333333333333" style="368" customWidth="1"/>
    <col min="22" max="22" width="2.63333333333333" style="368" customWidth="1"/>
    <col min="23" max="23" width="10.8833333333333" style="368" customWidth="1"/>
    <col min="24" max="24" width="2.63333333333333" style="368" customWidth="1"/>
    <col min="25" max="25" width="0.25" style="368" customWidth="1"/>
    <col min="26" max="26" width="3.25" style="368" customWidth="1"/>
    <col min="27" max="27" width="8.5" style="368" customWidth="1"/>
    <col min="28" max="28" width="0.25" style="368" customWidth="1"/>
    <col min="29" max="29" width="1.38333333333333" style="368" customWidth="1"/>
    <col min="30" max="30" width="0.133333333333333" style="368" customWidth="1"/>
    <col min="31" max="31" width="6.13333333333333" style="368" customWidth="1"/>
    <col min="32" max="32" width="15.5" style="368" customWidth="1"/>
    <col min="33" max="33" width="0.133333333333333" style="368" customWidth="1"/>
    <col min="34" max="34" width="3.38333333333333" style="368" customWidth="1"/>
    <col min="35" max="35" width="10.3833333333333" style="368"/>
    <col min="36" max="36" width="13.75" style="368"/>
    <col min="37" max="16384" width="9" style="368"/>
  </cols>
  <sheetData>
    <row r="1" s="368" customFormat="1" ht="27" customHeight="1" spans="1:34">
      <c r="A1" s="370" t="s">
        <v>0</v>
      </c>
      <c r="B1" s="370"/>
      <c r="C1" s="370"/>
      <c r="D1" s="370"/>
      <c r="E1" s="371" t="s">
        <v>1</v>
      </c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V1" s="371"/>
      <c r="W1" s="371"/>
      <c r="X1" s="371"/>
      <c r="Y1" s="371"/>
      <c r="Z1" s="371"/>
      <c r="AA1" s="371"/>
      <c r="AB1" s="371"/>
      <c r="AC1" s="371"/>
      <c r="AD1" s="371"/>
      <c r="AE1" s="371"/>
      <c r="AF1" s="386"/>
      <c r="AG1" s="386"/>
      <c r="AH1" s="386"/>
    </row>
    <row r="2" s="368" customFormat="1" ht="39" customHeight="1" spans="1:34">
      <c r="A2" s="372" t="s">
        <v>2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72"/>
      <c r="AG2" s="372"/>
      <c r="AH2" s="372"/>
    </row>
    <row r="3" s="369" customFormat="1" ht="43" customHeight="1" spans="1:34">
      <c r="A3" s="373" t="s">
        <v>3</v>
      </c>
      <c r="B3" s="374"/>
      <c r="C3" s="374"/>
      <c r="D3" s="374"/>
      <c r="E3" s="374"/>
      <c r="F3" s="374"/>
      <c r="G3" s="374"/>
      <c r="H3" s="375">
        <v>543935</v>
      </c>
      <c r="I3" s="375"/>
      <c r="J3" s="375"/>
      <c r="K3" s="375"/>
      <c r="L3" s="375"/>
      <c r="M3" s="374" t="s">
        <v>4</v>
      </c>
      <c r="N3" s="374"/>
      <c r="O3" s="374"/>
      <c r="P3" s="374"/>
      <c r="Q3" s="374"/>
      <c r="R3" s="374"/>
      <c r="S3" s="374"/>
      <c r="T3" s="374"/>
      <c r="U3" s="374"/>
      <c r="V3" s="384">
        <f>H3</f>
        <v>543935</v>
      </c>
      <c r="W3" s="384"/>
      <c r="X3" s="384"/>
      <c r="Y3" s="384"/>
      <c r="Z3" s="384"/>
      <c r="AA3" s="384"/>
      <c r="AB3" s="384"/>
      <c r="AC3" s="384"/>
      <c r="AD3" s="384"/>
      <c r="AE3" s="384"/>
      <c r="AF3" s="384"/>
      <c r="AG3" s="384"/>
      <c r="AH3" s="374" t="s">
        <v>0</v>
      </c>
    </row>
    <row r="4" s="369" customFormat="1" ht="45" customHeight="1" spans="1:34">
      <c r="A4" s="373" t="s">
        <v>5</v>
      </c>
      <c r="B4" s="374"/>
      <c r="C4" s="374"/>
      <c r="D4" s="374"/>
      <c r="E4" s="374"/>
      <c r="F4" s="374"/>
      <c r="G4" s="374"/>
      <c r="H4" s="375">
        <f>汇总表!F20</f>
        <v>712728</v>
      </c>
      <c r="I4" s="375"/>
      <c r="J4" s="375"/>
      <c r="K4" s="375"/>
      <c r="L4" s="382"/>
      <c r="M4" s="374" t="s">
        <v>4</v>
      </c>
      <c r="N4" s="374"/>
      <c r="O4" s="374"/>
      <c r="P4" s="374"/>
      <c r="Q4" s="374"/>
      <c r="R4" s="374"/>
      <c r="S4" s="374"/>
      <c r="T4" s="374"/>
      <c r="U4" s="374"/>
      <c r="V4" s="384">
        <f>H4</f>
        <v>712728</v>
      </c>
      <c r="W4" s="384"/>
      <c r="X4" s="384"/>
      <c r="Y4" s="384"/>
      <c r="Z4" s="384"/>
      <c r="AA4" s="384"/>
      <c r="AB4" s="384"/>
      <c r="AC4" s="384"/>
      <c r="AD4" s="384"/>
      <c r="AE4" s="384"/>
      <c r="AF4" s="384"/>
      <c r="AG4" s="384"/>
      <c r="AH4" s="374"/>
    </row>
    <row r="5" s="369" customFormat="1" ht="42.75" customHeight="1" spans="1:34">
      <c r="A5" s="373" t="s">
        <v>6</v>
      </c>
      <c r="B5" s="374"/>
      <c r="C5" s="374"/>
      <c r="D5" s="374"/>
      <c r="E5" s="374"/>
      <c r="F5" s="374"/>
      <c r="G5" s="376"/>
      <c r="H5" s="377">
        <f ca="1">汇总表!F20-汇总表!H20</f>
        <v>207778</v>
      </c>
      <c r="I5" s="377"/>
      <c r="J5" s="377"/>
      <c r="K5" s="377"/>
      <c r="L5" s="374" t="s">
        <v>4</v>
      </c>
      <c r="M5" s="374"/>
      <c r="N5" s="374"/>
      <c r="O5" s="374"/>
      <c r="P5" s="374"/>
      <c r="Q5" s="374"/>
      <c r="R5" s="374"/>
      <c r="S5" s="374"/>
      <c r="T5" s="374"/>
      <c r="U5" s="385">
        <v>12377093</v>
      </c>
      <c r="V5" s="384">
        <f ca="1">H5</f>
        <v>207778</v>
      </c>
      <c r="W5" s="384"/>
      <c r="X5" s="384"/>
      <c r="Y5" s="384"/>
      <c r="Z5" s="384"/>
      <c r="AA5" s="384"/>
      <c r="AB5" s="384"/>
      <c r="AC5" s="384"/>
      <c r="AD5" s="384"/>
      <c r="AE5" s="384"/>
      <c r="AF5" s="384"/>
      <c r="AG5" s="384"/>
      <c r="AH5" s="374"/>
    </row>
    <row r="6" s="369" customFormat="1" ht="69.75" customHeight="1" spans="1:34">
      <c r="A6" s="374" t="s">
        <v>7</v>
      </c>
      <c r="B6" s="374"/>
      <c r="C6" s="378" t="s">
        <v>8</v>
      </c>
      <c r="D6" s="378"/>
      <c r="E6" s="378"/>
      <c r="F6" s="378"/>
      <c r="G6" s="378"/>
      <c r="H6" s="378"/>
      <c r="I6" s="378"/>
      <c r="J6" s="374" t="s">
        <v>9</v>
      </c>
      <c r="K6" s="374"/>
      <c r="L6" s="374"/>
      <c r="M6" s="374"/>
      <c r="N6" s="374"/>
      <c r="O6" s="374"/>
      <c r="P6" s="378" t="s">
        <v>10</v>
      </c>
      <c r="Q6" s="378"/>
      <c r="R6" s="378"/>
      <c r="S6" s="378"/>
      <c r="T6" s="378"/>
      <c r="U6" s="378"/>
      <c r="V6" s="378"/>
      <c r="W6" s="378"/>
      <c r="X6" s="378"/>
      <c r="Y6" s="378"/>
      <c r="Z6" s="374" t="s">
        <v>11</v>
      </c>
      <c r="AA6" s="374"/>
      <c r="AB6" s="374"/>
      <c r="AC6" s="378" t="s">
        <v>12</v>
      </c>
      <c r="AD6" s="378"/>
      <c r="AE6" s="378"/>
      <c r="AF6" s="378"/>
      <c r="AG6" s="378"/>
      <c r="AH6" s="378"/>
    </row>
    <row r="7" s="369" customFormat="1" ht="20.25" customHeight="1" spans="1:36">
      <c r="A7" s="374" t="s">
        <v>0</v>
      </c>
      <c r="B7" s="379" t="s">
        <v>13</v>
      </c>
      <c r="C7" s="379"/>
      <c r="D7" s="379"/>
      <c r="E7" s="379"/>
      <c r="F7" s="379"/>
      <c r="G7" s="379"/>
      <c r="H7" s="379"/>
      <c r="I7" s="379"/>
      <c r="J7" s="379"/>
      <c r="K7" s="379" t="s">
        <v>0</v>
      </c>
      <c r="L7" s="379"/>
      <c r="M7" s="379"/>
      <c r="N7" s="379"/>
      <c r="O7" s="379"/>
      <c r="P7" s="379" t="s">
        <v>13</v>
      </c>
      <c r="Q7" s="379"/>
      <c r="R7" s="379"/>
      <c r="S7" s="379"/>
      <c r="T7" s="379"/>
      <c r="U7" s="379"/>
      <c r="V7" s="379"/>
      <c r="W7" s="379"/>
      <c r="X7" s="379"/>
      <c r="Y7" s="383" t="s">
        <v>0</v>
      </c>
      <c r="Z7" s="383"/>
      <c r="AA7" s="383"/>
      <c r="AB7" s="379" t="s">
        <v>13</v>
      </c>
      <c r="AC7" s="379"/>
      <c r="AD7" s="379"/>
      <c r="AE7" s="379"/>
      <c r="AF7" s="379"/>
      <c r="AG7" s="379"/>
      <c r="AH7" s="379"/>
      <c r="AJ7" s="388"/>
    </row>
    <row r="8" s="369" customFormat="1" ht="41.25" customHeight="1" spans="1:34">
      <c r="A8" s="374" t="s">
        <v>14</v>
      </c>
      <c r="B8" s="374"/>
      <c r="C8" s="378" t="s">
        <v>15</v>
      </c>
      <c r="D8" s="378"/>
      <c r="E8" s="378"/>
      <c r="F8" s="378"/>
      <c r="G8" s="378"/>
      <c r="H8" s="378"/>
      <c r="I8" s="378"/>
      <c r="J8" s="378"/>
      <c r="K8" s="374" t="s">
        <v>14</v>
      </c>
      <c r="L8" s="374"/>
      <c r="M8" s="374"/>
      <c r="N8" s="374"/>
      <c r="O8" s="374"/>
      <c r="P8" s="374"/>
      <c r="Q8" s="374"/>
      <c r="R8" s="378" t="s">
        <v>15</v>
      </c>
      <c r="S8" s="378"/>
      <c r="T8" s="378"/>
      <c r="U8" s="378"/>
      <c r="V8" s="378"/>
      <c r="W8" s="378"/>
      <c r="X8" s="378"/>
      <c r="Y8" s="378"/>
      <c r="Z8" s="374" t="s">
        <v>14</v>
      </c>
      <c r="AA8" s="374"/>
      <c r="AB8" s="374"/>
      <c r="AC8" s="374"/>
      <c r="AD8" s="374"/>
      <c r="AE8" s="378"/>
      <c r="AF8" s="378"/>
      <c r="AG8" s="378"/>
      <c r="AH8" s="378"/>
    </row>
    <row r="9" s="369" customFormat="1" ht="20.25" customHeight="1" spans="1:34">
      <c r="A9" s="374" t="s">
        <v>0</v>
      </c>
      <c r="B9" s="379" t="s">
        <v>16</v>
      </c>
      <c r="C9" s="379"/>
      <c r="D9" s="379"/>
      <c r="E9" s="379"/>
      <c r="F9" s="379"/>
      <c r="G9" s="379"/>
      <c r="H9" s="379"/>
      <c r="I9" s="379" t="s">
        <v>0</v>
      </c>
      <c r="J9" s="379"/>
      <c r="K9" s="379"/>
      <c r="L9" s="379"/>
      <c r="M9" s="379"/>
      <c r="N9" s="379"/>
      <c r="O9" s="379"/>
      <c r="P9" s="379"/>
      <c r="Q9" s="379" t="s">
        <v>16</v>
      </c>
      <c r="R9" s="379"/>
      <c r="S9" s="379"/>
      <c r="T9" s="379"/>
      <c r="U9" s="379"/>
      <c r="V9" s="379"/>
      <c r="W9" s="379"/>
      <c r="X9" s="379"/>
      <c r="Y9" s="379"/>
      <c r="Z9" s="379" t="s">
        <v>0</v>
      </c>
      <c r="AA9" s="379"/>
      <c r="AB9" s="379"/>
      <c r="AC9" s="379"/>
      <c r="AD9" s="379" t="s">
        <v>16</v>
      </c>
      <c r="AE9" s="379"/>
      <c r="AF9" s="379"/>
      <c r="AG9" s="379"/>
      <c r="AH9" s="379"/>
    </row>
    <row r="10" s="369" customFormat="1" ht="49.5" customHeight="1" spans="1:34">
      <c r="A10" s="374" t="s">
        <v>17</v>
      </c>
      <c r="B10" s="374"/>
      <c r="C10" s="378" t="s">
        <v>18</v>
      </c>
      <c r="D10" s="378"/>
      <c r="E10" s="378"/>
      <c r="F10" s="378"/>
      <c r="G10" s="378"/>
      <c r="H10" s="378"/>
      <c r="I10" s="378"/>
      <c r="J10" s="378"/>
      <c r="K10" s="378"/>
      <c r="L10" s="378"/>
      <c r="M10" s="378"/>
      <c r="N10" s="378"/>
      <c r="O10" s="374" t="s">
        <v>0</v>
      </c>
      <c r="P10" s="374"/>
      <c r="Q10" s="374"/>
      <c r="R10" s="374"/>
      <c r="S10" s="374"/>
      <c r="T10" s="374" t="s">
        <v>19</v>
      </c>
      <c r="U10" s="374"/>
      <c r="V10" s="374"/>
      <c r="W10" s="374"/>
      <c r="X10" s="378" t="s">
        <v>15</v>
      </c>
      <c r="Y10" s="378"/>
      <c r="Z10" s="378"/>
      <c r="AA10" s="378"/>
      <c r="AB10" s="378"/>
      <c r="AC10" s="378"/>
      <c r="AD10" s="378"/>
      <c r="AE10" s="378"/>
      <c r="AF10" s="378"/>
      <c r="AG10" s="378"/>
      <c r="AH10" s="378"/>
    </row>
    <row r="11" s="369" customFormat="1" ht="21.75" customHeight="1" spans="1:34">
      <c r="A11" s="374" t="s">
        <v>0</v>
      </c>
      <c r="B11" s="374"/>
      <c r="C11" s="374"/>
      <c r="D11" s="379"/>
      <c r="E11" s="379"/>
      <c r="F11" s="379"/>
      <c r="G11" s="379"/>
      <c r="H11" s="379"/>
      <c r="I11" s="379"/>
      <c r="J11" s="379"/>
      <c r="K11" s="379"/>
      <c r="L11" s="379"/>
      <c r="M11" s="379"/>
      <c r="N11" s="383" t="s">
        <v>0</v>
      </c>
      <c r="O11" s="383"/>
      <c r="P11" s="383"/>
      <c r="Q11" s="383"/>
      <c r="R11" s="383"/>
      <c r="S11" s="383"/>
      <c r="T11" s="383"/>
      <c r="U11" s="383"/>
      <c r="V11" s="383"/>
      <c r="W11" s="383"/>
      <c r="X11" s="383"/>
      <c r="Y11" s="383"/>
      <c r="Z11" s="383"/>
      <c r="AA11" s="379"/>
      <c r="AB11" s="379"/>
      <c r="AC11" s="379"/>
      <c r="AD11" s="379"/>
      <c r="AE11" s="379"/>
      <c r="AF11" s="379"/>
      <c r="AG11" s="379"/>
      <c r="AH11" s="379"/>
    </row>
    <row r="12" s="369" customFormat="1" ht="31.5" customHeight="1" spans="1:34">
      <c r="A12" s="374" t="s">
        <v>20</v>
      </c>
      <c r="B12" s="374"/>
      <c r="C12" s="374"/>
      <c r="D12" s="374"/>
      <c r="E12" s="374"/>
      <c r="F12" s="374" t="s">
        <v>15</v>
      </c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4"/>
      <c r="Y12" s="374"/>
      <c r="Z12" s="374"/>
      <c r="AA12" s="374" t="s">
        <v>15</v>
      </c>
      <c r="AB12" s="374"/>
      <c r="AC12" s="374"/>
      <c r="AD12" s="374"/>
      <c r="AE12" s="374"/>
      <c r="AF12" s="374"/>
      <c r="AG12" s="374"/>
      <c r="AH12" s="374"/>
    </row>
    <row r="13" s="368" customFormat="1" ht="37" customHeight="1" spans="1:34">
      <c r="A13" s="380" t="s">
        <v>0</v>
      </c>
      <c r="B13" s="380"/>
      <c r="C13" s="380"/>
      <c r="D13" s="380"/>
      <c r="E13" s="380"/>
      <c r="F13" s="381" t="s">
        <v>0</v>
      </c>
      <c r="G13" s="381"/>
      <c r="H13" s="381"/>
      <c r="I13" s="381"/>
      <c r="J13" s="381"/>
      <c r="K13" s="381"/>
      <c r="L13" s="381"/>
      <c r="M13" s="381"/>
      <c r="N13" s="381"/>
      <c r="O13" s="381"/>
      <c r="P13" s="381"/>
      <c r="Q13" s="381"/>
      <c r="R13" s="381"/>
      <c r="S13" s="381"/>
      <c r="T13" s="381"/>
      <c r="U13" s="381"/>
      <c r="V13" s="381"/>
      <c r="W13" s="380" t="s">
        <v>0</v>
      </c>
      <c r="X13" s="380"/>
      <c r="Y13" s="380"/>
      <c r="Z13" s="380"/>
      <c r="AA13" s="387"/>
      <c r="AB13" s="387"/>
      <c r="AC13" s="387"/>
      <c r="AD13" s="387"/>
      <c r="AE13" s="387"/>
      <c r="AF13" s="387"/>
      <c r="AG13" s="387"/>
      <c r="AH13" s="387"/>
    </row>
  </sheetData>
  <mergeCells count="55">
    <mergeCell ref="A1:D1"/>
    <mergeCell ref="E1:AE1"/>
    <mergeCell ref="AF1:AH1"/>
    <mergeCell ref="A2:AH2"/>
    <mergeCell ref="A3:G3"/>
    <mergeCell ref="H3:L3"/>
    <mergeCell ref="M3:U3"/>
    <mergeCell ref="V3:AG3"/>
    <mergeCell ref="A4:F4"/>
    <mergeCell ref="H4:K4"/>
    <mergeCell ref="M4:U4"/>
    <mergeCell ref="V4:AG4"/>
    <mergeCell ref="A5:F5"/>
    <mergeCell ref="H5:K5"/>
    <mergeCell ref="L5:T5"/>
    <mergeCell ref="V5:AG5"/>
    <mergeCell ref="A6:B6"/>
    <mergeCell ref="C6:I6"/>
    <mergeCell ref="J6:O6"/>
    <mergeCell ref="P6:Y6"/>
    <mergeCell ref="Z6:AB6"/>
    <mergeCell ref="AC6:AH6"/>
    <mergeCell ref="B7:J7"/>
    <mergeCell ref="K7:O7"/>
    <mergeCell ref="P7:X7"/>
    <mergeCell ref="Y7:AA7"/>
    <mergeCell ref="AB7:AH7"/>
    <mergeCell ref="A8:B8"/>
    <mergeCell ref="C8:J8"/>
    <mergeCell ref="K8:Q8"/>
    <mergeCell ref="R8:Y8"/>
    <mergeCell ref="Z8:AD8"/>
    <mergeCell ref="AE8:AH8"/>
    <mergeCell ref="B9:H9"/>
    <mergeCell ref="I9:P9"/>
    <mergeCell ref="Q9:Y9"/>
    <mergeCell ref="Z9:AC9"/>
    <mergeCell ref="AD9:AH9"/>
    <mergeCell ref="A10:B10"/>
    <mergeCell ref="C10:N10"/>
    <mergeCell ref="O10:S10"/>
    <mergeCell ref="T10:W10"/>
    <mergeCell ref="X10:AH10"/>
    <mergeCell ref="A11:C11"/>
    <mergeCell ref="D11:M11"/>
    <mergeCell ref="N11:Z11"/>
    <mergeCell ref="AA11:AH11"/>
    <mergeCell ref="A12:E12"/>
    <mergeCell ref="F12:R12"/>
    <mergeCell ref="S12:Z12"/>
    <mergeCell ref="AA12:AH12"/>
    <mergeCell ref="A13:E13"/>
    <mergeCell ref="F13:V13"/>
    <mergeCell ref="W13:Z13"/>
    <mergeCell ref="AA13:AH13"/>
  </mergeCells>
  <pageMargins left="1.57430555555556" right="0.786805555555556" top="0.786805555555556" bottom="0.393055555555556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4" topLeftCell="A14" activePane="bottomLeft" state="frozen"/>
      <selection/>
      <selection pane="bottomLeft" activeCell="B19" sqref="B19"/>
    </sheetView>
  </sheetViews>
  <sheetFormatPr defaultColWidth="9" defaultRowHeight="13.5"/>
  <cols>
    <col min="1" max="1" width="4.125" style="90" customWidth="1"/>
    <col min="2" max="2" width="31.5" style="93" customWidth="1"/>
    <col min="3" max="3" width="6.625" style="93" customWidth="1"/>
    <col min="4" max="8" width="13.625" style="331" customWidth="1"/>
    <col min="9" max="9" width="13.625" style="332" customWidth="1"/>
    <col min="10" max="11" width="12.625" style="333" customWidth="1"/>
    <col min="12" max="12" width="11.25" style="90" customWidth="1"/>
    <col min="13" max="13" width="1.71666666666667" style="93" customWidth="1"/>
    <col min="14" max="15" width="9" style="93"/>
    <col min="16" max="16" width="11.5" style="93"/>
    <col min="17" max="16384" width="9" style="93"/>
  </cols>
  <sheetData>
    <row r="1" ht="43" customHeight="1" spans="1:12">
      <c r="A1" s="148" t="s">
        <v>21</v>
      </c>
      <c r="B1" s="148"/>
      <c r="C1" s="148"/>
      <c r="D1" s="148"/>
      <c r="E1" s="148"/>
      <c r="F1" s="148"/>
      <c r="G1" s="148"/>
      <c r="H1" s="148"/>
      <c r="I1" s="148"/>
      <c r="J1" s="355"/>
      <c r="K1" s="355"/>
      <c r="L1" s="148"/>
    </row>
    <row r="2" ht="19" customHeight="1" spans="1:12">
      <c r="A2" s="334" t="s">
        <v>22</v>
      </c>
      <c r="B2" s="334"/>
      <c r="C2" s="334"/>
      <c r="D2" s="334"/>
      <c r="E2" s="334"/>
      <c r="F2" s="334"/>
      <c r="G2" s="334"/>
      <c r="H2" s="334"/>
      <c r="I2" s="334"/>
      <c r="J2" s="356"/>
      <c r="K2" s="356"/>
      <c r="L2" s="334"/>
    </row>
    <row r="3" ht="29" customHeight="1" spans="1:12">
      <c r="A3" s="106" t="s">
        <v>23</v>
      </c>
      <c r="B3" s="106" t="s">
        <v>24</v>
      </c>
      <c r="C3" s="106" t="s">
        <v>25</v>
      </c>
      <c r="D3" s="106" t="s">
        <v>26</v>
      </c>
      <c r="E3" s="106"/>
      <c r="F3" s="106" t="s">
        <v>27</v>
      </c>
      <c r="G3" s="106"/>
      <c r="H3" s="106" t="s">
        <v>28</v>
      </c>
      <c r="I3" s="106"/>
      <c r="J3" s="228" t="s">
        <v>29</v>
      </c>
      <c r="K3" s="228"/>
      <c r="L3" s="106" t="s">
        <v>30</v>
      </c>
    </row>
    <row r="4" customFormat="1" ht="29" customHeight="1" spans="1:12">
      <c r="A4" s="106"/>
      <c r="B4" s="106"/>
      <c r="C4" s="106"/>
      <c r="D4" s="106" t="s">
        <v>31</v>
      </c>
      <c r="E4" s="106" t="s">
        <v>32</v>
      </c>
      <c r="F4" s="106" t="s">
        <v>31</v>
      </c>
      <c r="G4" s="106" t="s">
        <v>32</v>
      </c>
      <c r="H4" s="106" t="s">
        <v>31</v>
      </c>
      <c r="I4" s="106" t="s">
        <v>32</v>
      </c>
      <c r="J4" s="357" t="s">
        <v>33</v>
      </c>
      <c r="K4" s="357" t="s">
        <v>34</v>
      </c>
      <c r="L4" s="106"/>
    </row>
    <row r="5" s="330" customFormat="1" ht="23" customHeight="1" spans="1:12">
      <c r="A5" s="306"/>
      <c r="B5" s="335" t="str">
        <f>结算审核明细表!B6</f>
        <v>第一部分 建筑工程</v>
      </c>
      <c r="C5" s="336"/>
      <c r="D5" s="337">
        <f>结算审核明细表!G6</f>
        <v>167406.924</v>
      </c>
      <c r="E5" s="337"/>
      <c r="F5" s="337">
        <f>结算审核明细表!L6</f>
        <v>231881.35</v>
      </c>
      <c r="G5" s="337"/>
      <c r="H5" s="337">
        <f ca="1">SUM(H6:H9)</f>
        <v>108663.734610808</v>
      </c>
      <c r="I5" s="337"/>
      <c r="J5" s="337">
        <f ca="1">SUM(J6:J9)</f>
        <v>-58743.1853891923</v>
      </c>
      <c r="K5" s="337">
        <f ca="1">SUM(K6:K9)</f>
        <v>-123217.615389192</v>
      </c>
      <c r="L5" s="358"/>
    </row>
    <row r="6" s="88" customFormat="1" ht="23" customHeight="1" spans="1:12">
      <c r="A6" s="246" t="str">
        <f>结算审核明细表!A7</f>
        <v>一</v>
      </c>
      <c r="B6" s="292" t="str">
        <f>结算审核明细表!B7</f>
        <v>取水工程</v>
      </c>
      <c r="C6" s="338"/>
      <c r="D6" s="339">
        <f>结算审核明细表!G7</f>
        <v>0</v>
      </c>
      <c r="E6" s="339"/>
      <c r="F6" s="339">
        <f>结算审核明细表!L7</f>
        <v>0</v>
      </c>
      <c r="G6" s="339"/>
      <c r="H6" s="339">
        <f>结算审核明细表!Q7</f>
        <v>0</v>
      </c>
      <c r="I6" s="359"/>
      <c r="J6" s="360">
        <f>H6-D6</f>
        <v>0</v>
      </c>
      <c r="K6" s="360">
        <f>H6-F6</f>
        <v>0</v>
      </c>
      <c r="L6" s="358"/>
    </row>
    <row r="7" s="88" customFormat="1" ht="23" customHeight="1" spans="1:12">
      <c r="A7" s="246" t="str">
        <f>结算审核明细表!A8</f>
        <v>二</v>
      </c>
      <c r="B7" s="292" t="str">
        <f>结算审核明细表!B8</f>
        <v>输水工程</v>
      </c>
      <c r="C7" s="338"/>
      <c r="D7" s="339">
        <f>结算审核明细表!G8</f>
        <v>7586.6</v>
      </c>
      <c r="E7" s="339"/>
      <c r="F7" s="339">
        <f>结算审核明细表!L8</f>
        <v>20032.01</v>
      </c>
      <c r="G7" s="339"/>
      <c r="H7" s="339">
        <f ca="1">结算审核明细表!Q8</f>
        <v>929.63963963964</v>
      </c>
      <c r="I7" s="359"/>
      <c r="J7" s="360">
        <f ca="1">H7-D7</f>
        <v>-6656.96036036036</v>
      </c>
      <c r="K7" s="360">
        <f ca="1">H7-F7</f>
        <v>-19102.3703603604</v>
      </c>
      <c r="L7" s="361"/>
    </row>
    <row r="8" s="88" customFormat="1" ht="23" customHeight="1" spans="1:12">
      <c r="A8" s="246" t="str">
        <f>结算审核明细表!A14</f>
        <v>三</v>
      </c>
      <c r="B8" s="292" t="str">
        <f>结算审核明细表!B14</f>
        <v>水厂工程</v>
      </c>
      <c r="C8" s="338"/>
      <c r="D8" s="339">
        <f>结算审核明细表!G14</f>
        <v>151460.28</v>
      </c>
      <c r="E8" s="339"/>
      <c r="F8" s="339">
        <f>结算审核明细表!L14</f>
        <v>166769.93</v>
      </c>
      <c r="G8" s="339"/>
      <c r="H8" s="339">
        <f ca="1">结算审核明细表!Q14</f>
        <v>106999.334971168</v>
      </c>
      <c r="I8" s="359"/>
      <c r="J8" s="360">
        <f ca="1">H8-D8</f>
        <v>-44460.9450288319</v>
      </c>
      <c r="K8" s="360">
        <f ca="1">H8-F8</f>
        <v>-59770.5950288319</v>
      </c>
      <c r="L8" s="361"/>
    </row>
    <row r="9" customFormat="1" ht="23" customHeight="1" spans="1:12">
      <c r="A9" s="246" t="str">
        <f>结算审核明细表!A116</f>
        <v>四</v>
      </c>
      <c r="B9" s="292" t="str">
        <f>结算审核明细表!B116</f>
        <v>配水工程</v>
      </c>
      <c r="C9" s="340"/>
      <c r="D9" s="339">
        <f>结算审核明细表!G116</f>
        <v>8360.04</v>
      </c>
      <c r="E9" s="339"/>
      <c r="F9" s="339">
        <f>结算审核明细表!L116</f>
        <v>45079.41</v>
      </c>
      <c r="G9" s="339"/>
      <c r="H9" s="339">
        <f ca="1">结算审核明细表!Q116</f>
        <v>734.76</v>
      </c>
      <c r="I9" s="359"/>
      <c r="J9" s="360">
        <f ca="1">H9-D9</f>
        <v>-7625.28</v>
      </c>
      <c r="K9" s="360">
        <f ca="1">H9-F9</f>
        <v>-44344.65</v>
      </c>
      <c r="L9" s="350"/>
    </row>
    <row r="10" customFormat="1" ht="23" customHeight="1" spans="1:12">
      <c r="A10" s="341"/>
      <c r="B10" s="335" t="str">
        <f>结算审核明细表!B123</f>
        <v>第二部分 机电设备安装工程</v>
      </c>
      <c r="C10" s="340"/>
      <c r="D10" s="337">
        <f>结算审核明细表!G123+结算审核明细表!H123</f>
        <v>684230.33</v>
      </c>
      <c r="E10" s="337"/>
      <c r="F10" s="337">
        <f>结算审核明细表!L123+结算审核明细表!M123</f>
        <v>709996.41</v>
      </c>
      <c r="G10" s="337"/>
      <c r="H10" s="337">
        <f ca="1">结算审核明细表!Q123+结算审核明细表!R123</f>
        <v>616640.321351351</v>
      </c>
      <c r="I10" s="337"/>
      <c r="J10" s="337">
        <f ca="1">SUM(J11:J14)</f>
        <v>-26956.850990991</v>
      </c>
      <c r="K10" s="337">
        <f ca="1">SUM(K11:K14)</f>
        <v>-89517.930990991</v>
      </c>
      <c r="L10" s="344"/>
    </row>
    <row r="11" customFormat="1" ht="23" customHeight="1" spans="1:12">
      <c r="A11" s="246" t="str">
        <f>结算审核明细表!A124</f>
        <v>一</v>
      </c>
      <c r="B11" s="292" t="str">
        <f>结算审核明细表!B124</f>
        <v>取水工程</v>
      </c>
      <c r="C11" s="340"/>
      <c r="D11" s="339">
        <f>结算审核明细表!G124+结算审核明细表!H124</f>
        <v>0</v>
      </c>
      <c r="E11" s="339"/>
      <c r="F11" s="339">
        <f>结算审核明细表!L124+结算审核明细表!M124</f>
        <v>0</v>
      </c>
      <c r="G11" s="339"/>
      <c r="H11" s="339">
        <f>结算审核明细表!Q124+结算审核明细表!R124</f>
        <v>0</v>
      </c>
      <c r="I11" s="359"/>
      <c r="J11" s="360">
        <f t="shared" ref="J11:J20" si="0">H11-D11</f>
        <v>0</v>
      </c>
      <c r="K11" s="360">
        <f t="shared" ref="K11:K20" si="1">H11-F11</f>
        <v>0</v>
      </c>
      <c r="L11" s="350"/>
    </row>
    <row r="12" customFormat="1" ht="23" customHeight="1" spans="1:12">
      <c r="A12" s="246" t="str">
        <f>结算审核明细表!A125</f>
        <v>二</v>
      </c>
      <c r="B12" s="292" t="str">
        <f>结算审核明细表!B125</f>
        <v>输水工程</v>
      </c>
      <c r="C12" s="340"/>
      <c r="D12" s="339">
        <f>结算审核明细表!G125+结算审核明细表!H125</f>
        <v>192184</v>
      </c>
      <c r="E12" s="339"/>
      <c r="F12" s="339">
        <f>结算审核明细表!L125+结算审核明细表!M125</f>
        <v>415742</v>
      </c>
      <c r="G12" s="339"/>
      <c r="H12" s="339">
        <f ca="1">结算审核明细表!Q125+结算审核明细表!R125</f>
        <v>334404.393333333</v>
      </c>
      <c r="I12" s="359"/>
      <c r="J12" s="360">
        <f ca="1" t="shared" si="0"/>
        <v>142220.393333333</v>
      </c>
      <c r="K12" s="360">
        <f ca="1" t="shared" si="1"/>
        <v>-81337.6066666667</v>
      </c>
      <c r="L12" s="350"/>
    </row>
    <row r="13" customFormat="1" ht="23" customHeight="1" spans="1:12">
      <c r="A13" s="246" t="str">
        <f>结算审核明细表!A132</f>
        <v>三</v>
      </c>
      <c r="B13" s="292" t="str">
        <f>结算审核明细表!B132</f>
        <v>水厂工程</v>
      </c>
      <c r="C13" s="340"/>
      <c r="D13" s="339">
        <f>结算审核明细表!G132+结算审核明细表!H132</f>
        <v>24100</v>
      </c>
      <c r="E13" s="339"/>
      <c r="F13" s="339">
        <f>结算审核明细表!L132+结算审核明细表!M132</f>
        <v>25100</v>
      </c>
      <c r="G13" s="339"/>
      <c r="H13" s="339">
        <f ca="1">结算审核明细表!Q132+结算审核明细表!R132</f>
        <v>21474.6756756757</v>
      </c>
      <c r="I13" s="359"/>
      <c r="J13" s="360">
        <f ca="1" t="shared" si="0"/>
        <v>-2625.32432432432</v>
      </c>
      <c r="K13" s="360">
        <f ca="1" t="shared" si="1"/>
        <v>-3625.32432432432</v>
      </c>
      <c r="L13" s="350"/>
    </row>
    <row r="14" customFormat="1" ht="23" customHeight="1" spans="1:12">
      <c r="A14" s="342" t="str">
        <f>结算审核明细表!A138</f>
        <v>四</v>
      </c>
      <c r="B14" s="343" t="str">
        <f>结算审核明细表!B138</f>
        <v>配水工程</v>
      </c>
      <c r="C14" s="340"/>
      <c r="D14" s="339">
        <f>结算审核明细表!G138</f>
        <v>376601.33</v>
      </c>
      <c r="E14" s="339">
        <f>结算审核明细表!H138</f>
        <v>91345</v>
      </c>
      <c r="F14" s="339">
        <f>结算审核明细表!L138</f>
        <v>214604.41</v>
      </c>
      <c r="G14" s="339">
        <f>结算审核明细表!M138</f>
        <v>54550</v>
      </c>
      <c r="H14" s="339">
        <f ca="1">结算审核明细表!Q138</f>
        <v>210049.41</v>
      </c>
      <c r="I14" s="359">
        <f ca="1">结算审核明细表!R138</f>
        <v>50711.8423423423</v>
      </c>
      <c r="J14" s="360">
        <f ca="1" t="shared" si="0"/>
        <v>-166551.92</v>
      </c>
      <c r="K14" s="360">
        <f ca="1" t="shared" si="1"/>
        <v>-4555</v>
      </c>
      <c r="L14" s="362" t="s">
        <v>35</v>
      </c>
    </row>
    <row r="15" customFormat="1" ht="23" customHeight="1" spans="1:12">
      <c r="A15" s="344"/>
      <c r="B15" s="335" t="s">
        <v>36</v>
      </c>
      <c r="C15" s="345"/>
      <c r="D15" s="346">
        <f>结算审核明细表!D145</f>
        <v>13200.38</v>
      </c>
      <c r="E15" s="347"/>
      <c r="F15" s="348">
        <f>结算审核明细表!I145</f>
        <v>14440.38</v>
      </c>
      <c r="G15" s="349"/>
      <c r="H15" s="348">
        <f>结算审核明细表!N145</f>
        <v>13200</v>
      </c>
      <c r="I15" s="349"/>
      <c r="J15" s="360">
        <f t="shared" si="0"/>
        <v>-0.3799999999992</v>
      </c>
      <c r="K15" s="360">
        <f t="shared" si="1"/>
        <v>-1240.38</v>
      </c>
      <c r="L15" s="344"/>
    </row>
    <row r="16" customFormat="1" ht="30" customHeight="1" spans="1:12">
      <c r="A16" s="350"/>
      <c r="B16" s="204" t="s">
        <v>37</v>
      </c>
      <c r="C16" s="340"/>
      <c r="D16" s="351">
        <f>D5+E5+D10+E10+D15</f>
        <v>864837.634</v>
      </c>
      <c r="E16" s="352"/>
      <c r="F16" s="351">
        <f t="shared" ref="D16:H16" si="2">F5+G5+F10+G10+F15</f>
        <v>956318.14</v>
      </c>
      <c r="G16" s="352"/>
      <c r="H16" s="351">
        <f ca="1" t="shared" si="2"/>
        <v>738504.055962159</v>
      </c>
      <c r="I16" s="352"/>
      <c r="J16" s="363">
        <f ca="1" t="shared" si="0"/>
        <v>-126333.578037841</v>
      </c>
      <c r="K16" s="363">
        <f ca="1" t="shared" si="1"/>
        <v>-217814.084037841</v>
      </c>
      <c r="L16" s="364"/>
    </row>
    <row r="17" customFormat="1" ht="23" customHeight="1" spans="1:12">
      <c r="A17" s="350"/>
      <c r="B17" s="306" t="s">
        <v>38</v>
      </c>
      <c r="C17" s="340"/>
      <c r="D17" s="351">
        <f t="shared" ref="D17:H17" si="3">D14</f>
        <v>376601.33</v>
      </c>
      <c r="E17" s="352"/>
      <c r="F17" s="351">
        <f t="shared" si="3"/>
        <v>214604.41</v>
      </c>
      <c r="G17" s="352"/>
      <c r="H17" s="351">
        <f ca="1" t="shared" si="3"/>
        <v>210049.41</v>
      </c>
      <c r="I17" s="352"/>
      <c r="J17" s="363">
        <f ca="1" t="shared" si="0"/>
        <v>-166551.92</v>
      </c>
      <c r="K17" s="363">
        <f ca="1" t="shared" si="1"/>
        <v>-4555</v>
      </c>
      <c r="L17" s="365" t="s">
        <v>39</v>
      </c>
    </row>
    <row r="18" customFormat="1" ht="23" customHeight="1" spans="1:12">
      <c r="A18" s="350"/>
      <c r="B18" s="306" t="s">
        <v>40</v>
      </c>
      <c r="C18" s="340"/>
      <c r="D18" s="351">
        <f>D15</f>
        <v>13200.38</v>
      </c>
      <c r="E18" s="352"/>
      <c r="F18" s="351">
        <f t="shared" ref="D18:H18" si="4">F15</f>
        <v>14440.38</v>
      </c>
      <c r="G18" s="352"/>
      <c r="H18" s="351">
        <f t="shared" si="4"/>
        <v>13200</v>
      </c>
      <c r="I18" s="352"/>
      <c r="J18" s="363">
        <f t="shared" si="0"/>
        <v>-0.3799999999992</v>
      </c>
      <c r="K18" s="363">
        <f t="shared" si="1"/>
        <v>-1240.38</v>
      </c>
      <c r="L18" s="366"/>
    </row>
    <row r="19" customFormat="1" ht="23" customHeight="1" spans="1:12">
      <c r="A19" s="350"/>
      <c r="B19" s="306" t="s">
        <v>41</v>
      </c>
      <c r="C19" s="340"/>
      <c r="D19" s="353">
        <f>(D16-D17-D18)*0.02</f>
        <v>9500.71848</v>
      </c>
      <c r="E19" s="354"/>
      <c r="F19" s="351">
        <f>(F16-F17-F18)*0.02</f>
        <v>14545.467</v>
      </c>
      <c r="G19" s="352"/>
      <c r="H19" s="351">
        <f ca="1">(H16-H17-H18)*0.02</f>
        <v>10305.0929192432</v>
      </c>
      <c r="I19" s="352"/>
      <c r="J19" s="363">
        <f ca="1" t="shared" si="0"/>
        <v>804.374439243178</v>
      </c>
      <c r="K19" s="363">
        <f ca="1" t="shared" si="1"/>
        <v>-4240.37408075682</v>
      </c>
      <c r="L19" s="350"/>
    </row>
    <row r="20" customFormat="1" ht="35" customHeight="1" spans="1:12">
      <c r="A20" s="350"/>
      <c r="B20" s="106" t="s">
        <v>42</v>
      </c>
      <c r="C20" s="340"/>
      <c r="D20" s="351">
        <f>D16-(D17+D18+D19)</f>
        <v>465535.20552</v>
      </c>
      <c r="E20" s="352"/>
      <c r="F20" s="351">
        <f>ROUND(F16-(F17+F18+F19),0)</f>
        <v>712728</v>
      </c>
      <c r="G20" s="352"/>
      <c r="H20" s="351">
        <f ca="1">ROUND(H16-(H17+H18+H19),0)</f>
        <v>504950</v>
      </c>
      <c r="I20" s="352"/>
      <c r="J20" s="363">
        <f ca="1" t="shared" si="0"/>
        <v>39414.79448</v>
      </c>
      <c r="K20" s="363">
        <f ca="1" t="shared" si="1"/>
        <v>-207778</v>
      </c>
      <c r="L20" s="367">
        <f ca="1">K20/F20</f>
        <v>-0.291524957627594</v>
      </c>
    </row>
    <row r="23" spans="5:5">
      <c r="E23" s="333"/>
    </row>
  </sheetData>
  <mergeCells count="29">
    <mergeCell ref="A1:L1"/>
    <mergeCell ref="A2:L2"/>
    <mergeCell ref="D3:E3"/>
    <mergeCell ref="F3:G3"/>
    <mergeCell ref="H3:I3"/>
    <mergeCell ref="J3:K3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A3:A4"/>
    <mergeCell ref="B3:B4"/>
    <mergeCell ref="C3:C4"/>
    <mergeCell ref="L3:L4"/>
    <mergeCell ref="L17:L18"/>
  </mergeCells>
  <printOptions horizontalCentered="1"/>
  <pageMargins left="0.590277777777778" right="0.393055555555556" top="0.432638888888889" bottom="0.786805555555556" header="0.196527777777778" footer="0.432638888888889"/>
  <pageSetup paperSize="9" scale="86" fitToHeight="0" orientation="landscape" horizontalDpi="600"/>
  <headerFooter>
    <oddHeader>&amp;R&amp;"仿宋"&amp;10
&amp;B
第 &amp;P 页，共 &amp;N 页</oddHeader>
    <oddFooter>&amp;L&amp;"楷体"&amp;12&amp;B建设单位：&amp;C&amp;"楷体"&amp;12&amp;B施工单位：&amp;R&amp;"楷体"&amp;12&amp;B审核单位：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62"/>
  <sheetViews>
    <sheetView zoomScale="90" zoomScaleNormal="90" workbookViewId="0">
      <pane ySplit="5" topLeftCell="A141" activePane="bottomLeft" state="frozen"/>
      <selection/>
      <selection pane="bottomLeft" activeCell="I150" sqref="I150:L150"/>
    </sheetView>
  </sheetViews>
  <sheetFormatPr defaultColWidth="9" defaultRowHeight="16.5" customHeight="1"/>
  <cols>
    <col min="1" max="1" width="6.625" style="137" customWidth="1"/>
    <col min="2" max="2" width="31.375" style="139" customWidth="1"/>
    <col min="3" max="3" width="5" style="215" customWidth="1"/>
    <col min="4" max="4" width="8.375" style="216" customWidth="1"/>
    <col min="5" max="5" width="9.25" style="216" customWidth="1"/>
    <col min="6" max="6" width="6.25" style="216" customWidth="1"/>
    <col min="7" max="7" width="9.875" style="216" customWidth="1"/>
    <col min="8" max="8" width="10.125" style="217" customWidth="1"/>
    <col min="9" max="9" width="9.25" style="217" customWidth="1"/>
    <col min="10" max="10" width="8.375" style="217" customWidth="1"/>
    <col min="11" max="11" width="6.25" style="217" customWidth="1"/>
    <col min="12" max="12" width="10.125" style="217" customWidth="1"/>
    <col min="13" max="13" width="10.125" style="218" customWidth="1"/>
    <col min="14" max="15" width="8.125" style="218" customWidth="1"/>
    <col min="16" max="16" width="6.25" style="218" customWidth="1"/>
    <col min="17" max="17" width="10.125" style="218" customWidth="1"/>
    <col min="18" max="18" width="10.125" style="219" customWidth="1"/>
    <col min="19" max="20" width="12" style="220" customWidth="1"/>
    <col min="21" max="21" width="10.375" style="221" customWidth="1"/>
    <col min="22" max="22" width="11.5" style="146" hidden="1" customWidth="1"/>
    <col min="23" max="16384" width="9" style="146"/>
  </cols>
  <sheetData>
    <row r="1" s="133" customFormat="1" ht="34" customHeight="1" spans="1:21">
      <c r="A1" s="222" t="s">
        <v>43</v>
      </c>
      <c r="B1" s="223"/>
      <c r="C1" s="224"/>
      <c r="D1" s="225"/>
      <c r="E1" s="225"/>
      <c r="F1" s="225"/>
      <c r="G1" s="225"/>
      <c r="H1" s="225"/>
      <c r="I1" s="225"/>
      <c r="J1" s="225"/>
      <c r="K1" s="225"/>
      <c r="L1" s="225"/>
      <c r="M1" s="250"/>
      <c r="N1" s="250"/>
      <c r="O1" s="250"/>
      <c r="P1" s="250"/>
      <c r="Q1" s="250"/>
      <c r="R1" s="263"/>
      <c r="S1" s="264"/>
      <c r="T1" s="264"/>
      <c r="U1" s="265"/>
    </row>
    <row r="2" s="133" customFormat="1" customHeight="1" spans="1:21">
      <c r="A2" s="99" t="s">
        <v>22</v>
      </c>
      <c r="B2" s="99"/>
      <c r="C2" s="99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266"/>
      <c r="T2" s="266"/>
      <c r="U2" s="267"/>
    </row>
    <row r="3" s="212" customFormat="1" customHeight="1" spans="1:21">
      <c r="A3" s="226" t="s">
        <v>44</v>
      </c>
      <c r="B3" s="106" t="s">
        <v>24</v>
      </c>
      <c r="C3" s="106" t="s">
        <v>25</v>
      </c>
      <c r="D3" s="227" t="s">
        <v>45</v>
      </c>
      <c r="E3" s="227"/>
      <c r="F3" s="227"/>
      <c r="G3" s="227"/>
      <c r="H3" s="227"/>
      <c r="I3" s="227" t="s">
        <v>46</v>
      </c>
      <c r="J3" s="227"/>
      <c r="K3" s="227"/>
      <c r="L3" s="227"/>
      <c r="M3" s="227"/>
      <c r="N3" s="227" t="s">
        <v>47</v>
      </c>
      <c r="O3" s="227"/>
      <c r="P3" s="227"/>
      <c r="Q3" s="227"/>
      <c r="R3" s="227"/>
      <c r="S3" s="227" t="s">
        <v>29</v>
      </c>
      <c r="T3" s="227"/>
      <c r="U3" s="193" t="s">
        <v>48</v>
      </c>
    </row>
    <row r="4" s="212" customFormat="1" customHeight="1" spans="1:21">
      <c r="A4" s="226"/>
      <c r="B4" s="106"/>
      <c r="C4" s="106"/>
      <c r="D4" s="228" t="s">
        <v>49</v>
      </c>
      <c r="E4" s="227" t="s">
        <v>50</v>
      </c>
      <c r="F4" s="227"/>
      <c r="G4" s="227" t="s">
        <v>51</v>
      </c>
      <c r="H4" s="227"/>
      <c r="I4" s="228" t="s">
        <v>49</v>
      </c>
      <c r="J4" s="227" t="s">
        <v>50</v>
      </c>
      <c r="K4" s="227"/>
      <c r="L4" s="227" t="s">
        <v>51</v>
      </c>
      <c r="M4" s="227"/>
      <c r="N4" s="228" t="s">
        <v>49</v>
      </c>
      <c r="O4" s="227" t="s">
        <v>50</v>
      </c>
      <c r="P4" s="227"/>
      <c r="Q4" s="227" t="s">
        <v>51</v>
      </c>
      <c r="R4" s="227"/>
      <c r="S4" s="228" t="s">
        <v>52</v>
      </c>
      <c r="T4" s="228" t="s">
        <v>53</v>
      </c>
      <c r="U4" s="193"/>
    </row>
    <row r="5" s="212" customFormat="1" customHeight="1" spans="1:21">
      <c r="A5" s="226"/>
      <c r="B5" s="106"/>
      <c r="C5" s="106"/>
      <c r="D5" s="228"/>
      <c r="E5" s="227" t="s">
        <v>31</v>
      </c>
      <c r="F5" s="227" t="s">
        <v>32</v>
      </c>
      <c r="G5" s="227" t="s">
        <v>31</v>
      </c>
      <c r="H5" s="227" t="s">
        <v>32</v>
      </c>
      <c r="I5" s="228"/>
      <c r="J5" s="227" t="s">
        <v>31</v>
      </c>
      <c r="K5" s="227" t="s">
        <v>32</v>
      </c>
      <c r="L5" s="227" t="s">
        <v>31</v>
      </c>
      <c r="M5" s="227" t="s">
        <v>32</v>
      </c>
      <c r="N5" s="228"/>
      <c r="O5" s="227" t="s">
        <v>31</v>
      </c>
      <c r="P5" s="227" t="s">
        <v>32</v>
      </c>
      <c r="Q5" s="227" t="s">
        <v>31</v>
      </c>
      <c r="R5" s="268" t="s">
        <v>32</v>
      </c>
      <c r="S5" s="228"/>
      <c r="T5" s="228"/>
      <c r="U5" s="193"/>
    </row>
    <row r="6" s="213" customFormat="1" customHeight="1" spans="1:21">
      <c r="A6" s="226"/>
      <c r="B6" s="106" t="s">
        <v>54</v>
      </c>
      <c r="C6" s="106"/>
      <c r="D6" s="228"/>
      <c r="E6" s="227"/>
      <c r="F6" s="227"/>
      <c r="G6" s="227">
        <v>167406.924</v>
      </c>
      <c r="H6" s="228"/>
      <c r="I6" s="228"/>
      <c r="J6" s="227"/>
      <c r="K6" s="227"/>
      <c r="L6" s="251">
        <v>231881.35</v>
      </c>
      <c r="M6" s="251"/>
      <c r="N6" s="251"/>
      <c r="O6" s="251"/>
      <c r="P6" s="251"/>
      <c r="Q6" s="251">
        <f ca="1">Q7+Q8+Q14+Q116</f>
        <v>108663.734610808</v>
      </c>
      <c r="R6" s="251"/>
      <c r="S6" s="251">
        <f ca="1">S7+S8+S14+S116</f>
        <v>-58743.1853891923</v>
      </c>
      <c r="T6" s="251">
        <f ca="1">T7+T8+T14+T116</f>
        <v>-123217.635389192</v>
      </c>
      <c r="U6" s="269"/>
    </row>
    <row r="7" s="138" customFormat="1" customHeight="1" spans="1:21">
      <c r="A7" s="229" t="str">
        <f>工程量核对表!A6</f>
        <v>一</v>
      </c>
      <c r="B7" s="230" t="str">
        <f>工程量核对表!B6</f>
        <v>取水工程</v>
      </c>
      <c r="C7" s="231"/>
      <c r="D7" s="232"/>
      <c r="E7" s="232"/>
      <c r="F7" s="232"/>
      <c r="G7" s="232"/>
      <c r="H7" s="233"/>
      <c r="I7" s="233"/>
      <c r="J7" s="233"/>
      <c r="K7" s="233"/>
      <c r="L7" s="232"/>
      <c r="M7" s="252"/>
      <c r="N7" s="252"/>
      <c r="O7" s="252"/>
      <c r="P7" s="252"/>
      <c r="Q7" s="232"/>
      <c r="R7" s="270"/>
      <c r="S7" s="271">
        <f t="shared" ref="S7:S10" si="0">Q7-G7</f>
        <v>0</v>
      </c>
      <c r="T7" s="253">
        <f t="shared" ref="T7:T10" si="1">Q7-L7</f>
        <v>0</v>
      </c>
      <c r="U7" s="272"/>
    </row>
    <row r="8" s="138" customFormat="1" customHeight="1" spans="1:21">
      <c r="A8" s="229" t="str">
        <f>工程量核对表!A7</f>
        <v>二</v>
      </c>
      <c r="B8" s="230" t="str">
        <f>工程量核对表!B7</f>
        <v>输水工程</v>
      </c>
      <c r="C8" s="231"/>
      <c r="D8" s="232"/>
      <c r="E8" s="232"/>
      <c r="F8" s="232"/>
      <c r="G8" s="232">
        <v>7586.6</v>
      </c>
      <c r="H8" s="232"/>
      <c r="I8" s="232"/>
      <c r="J8" s="233"/>
      <c r="K8" s="233"/>
      <c r="L8" s="232">
        <v>20032.01</v>
      </c>
      <c r="M8" s="253"/>
      <c r="N8" s="253"/>
      <c r="O8" s="232"/>
      <c r="P8" s="232"/>
      <c r="Q8" s="232">
        <f ca="1">Q9+Q13</f>
        <v>929.63963963964</v>
      </c>
      <c r="R8" s="270"/>
      <c r="S8" s="232">
        <f ca="1" t="shared" ref="Q8:T8" si="2">S9+S13</f>
        <v>-6656.96036036036</v>
      </c>
      <c r="T8" s="232">
        <f ca="1" t="shared" si="2"/>
        <v>-19102.3603603604</v>
      </c>
      <c r="U8" s="273"/>
    </row>
    <row r="9" s="137" customFormat="1" customHeight="1" spans="1:21">
      <c r="A9" s="234" t="str">
        <f>工程量核对表!A8</f>
        <v>（一）</v>
      </c>
      <c r="B9" s="235" t="str">
        <f>工程量核对表!B8</f>
        <v>管道开挖埋设</v>
      </c>
      <c r="C9" s="236"/>
      <c r="D9" s="237">
        <v>1000</v>
      </c>
      <c r="E9" s="237">
        <v>6.59</v>
      </c>
      <c r="F9" s="237"/>
      <c r="G9" s="237">
        <v>6586.6</v>
      </c>
      <c r="H9" s="237"/>
      <c r="I9" s="237"/>
      <c r="J9" s="254"/>
      <c r="K9" s="254"/>
      <c r="L9" s="237">
        <v>19032.01</v>
      </c>
      <c r="M9" s="255"/>
      <c r="N9" s="255"/>
      <c r="O9" s="237"/>
      <c r="P9" s="237"/>
      <c r="Q9" s="237">
        <f ca="1">SUM(Q10:Q12)</f>
        <v>0</v>
      </c>
      <c r="R9" s="274"/>
      <c r="S9" s="237">
        <f ca="1">SUM(S10:S12)</f>
        <v>-6586.6</v>
      </c>
      <c r="T9" s="237">
        <f ca="1">SUM(T10:T12)</f>
        <v>-19032</v>
      </c>
      <c r="U9" s="275"/>
    </row>
    <row r="10" s="137" customFormat="1" customHeight="1" spans="1:21">
      <c r="A10" s="238">
        <f>工程量核对表!A9</f>
        <v>1</v>
      </c>
      <c r="B10" s="239" t="str">
        <f>工程量核对表!B9</f>
        <v>土方开挖</v>
      </c>
      <c r="C10" s="240" t="str">
        <f>工程量核对表!C9</f>
        <v>m3</v>
      </c>
      <c r="D10" s="241">
        <v>60</v>
      </c>
      <c r="E10" s="241">
        <v>19.7</v>
      </c>
      <c r="F10" s="241"/>
      <c r="G10" s="241">
        <v>1182</v>
      </c>
      <c r="H10" s="241"/>
      <c r="I10" s="241">
        <v>235.2</v>
      </c>
      <c r="J10" s="256">
        <f t="shared" ref="J10:J13" si="3">E10</f>
        <v>19.7</v>
      </c>
      <c r="K10" s="256"/>
      <c r="L10" s="241">
        <v>4633.44</v>
      </c>
      <c r="M10" s="257"/>
      <c r="N10" s="257">
        <f ca="1">工程量核对表!F9</f>
        <v>0</v>
      </c>
      <c r="O10" s="241">
        <v>20.02</v>
      </c>
      <c r="P10" s="241"/>
      <c r="Q10" s="241">
        <f ca="1">N10*O10</f>
        <v>0</v>
      </c>
      <c r="R10" s="241"/>
      <c r="S10" s="262">
        <f ca="1" t="shared" si="0"/>
        <v>-1182</v>
      </c>
      <c r="T10" s="257">
        <f ca="1" t="shared" si="1"/>
        <v>-4633.44</v>
      </c>
      <c r="U10" s="276" t="s">
        <v>45</v>
      </c>
    </row>
    <row r="11" s="137" customFormat="1" customHeight="1" spans="1:21">
      <c r="A11" s="238">
        <f>工程量核对表!A10</f>
        <v>2</v>
      </c>
      <c r="B11" s="239" t="str">
        <f>工程量核对表!B10</f>
        <v>石方开挖</v>
      </c>
      <c r="C11" s="240" t="str">
        <f>工程量核对表!C10</f>
        <v>m3</v>
      </c>
      <c r="D11" s="241">
        <v>60</v>
      </c>
      <c r="E11" s="241">
        <v>57.48</v>
      </c>
      <c r="F11" s="241"/>
      <c r="G11" s="241">
        <v>3448.8</v>
      </c>
      <c r="H11" s="241"/>
      <c r="I11" s="241">
        <v>100.8</v>
      </c>
      <c r="J11" s="256">
        <f t="shared" si="3"/>
        <v>57.48</v>
      </c>
      <c r="K11" s="256"/>
      <c r="L11" s="241">
        <v>5793.98</v>
      </c>
      <c r="M11" s="257"/>
      <c r="N11" s="257">
        <f ca="1">工程量核对表!F10</f>
        <v>0</v>
      </c>
      <c r="O11" s="241">
        <v>55.5</v>
      </c>
      <c r="P11" s="241"/>
      <c r="Q11" s="241">
        <f ca="1">N11*O11</f>
        <v>0</v>
      </c>
      <c r="R11" s="277"/>
      <c r="S11" s="262">
        <f ca="1" t="shared" ref="S11:S16" si="4">Q11-G11</f>
        <v>-3448.8</v>
      </c>
      <c r="T11" s="257">
        <f ca="1" t="shared" ref="T11:T16" si="5">Q11-L11</f>
        <v>-5793.98</v>
      </c>
      <c r="U11" s="276" t="s">
        <v>45</v>
      </c>
    </row>
    <row r="12" s="137" customFormat="1" customHeight="1" spans="1:21">
      <c r="A12" s="238">
        <f>工程量核对表!A11</f>
        <v>3</v>
      </c>
      <c r="B12" s="239" t="str">
        <f>工程量核对表!B11</f>
        <v>土方回填</v>
      </c>
      <c r="C12" s="240" t="str">
        <f>工程量核对表!C11</f>
        <v>m3</v>
      </c>
      <c r="D12" s="241">
        <v>70</v>
      </c>
      <c r="E12" s="241">
        <v>27.94</v>
      </c>
      <c r="F12" s="241"/>
      <c r="G12" s="241">
        <v>1955.8</v>
      </c>
      <c r="H12" s="241"/>
      <c r="I12" s="241">
        <v>307.97</v>
      </c>
      <c r="J12" s="256">
        <f t="shared" si="3"/>
        <v>27.94</v>
      </c>
      <c r="K12" s="256"/>
      <c r="L12" s="241">
        <v>8604.58</v>
      </c>
      <c r="M12" s="257"/>
      <c r="N12" s="257">
        <f ca="1">工程量核对表!F11</f>
        <v>0</v>
      </c>
      <c r="O12" s="241">
        <v>24.89</v>
      </c>
      <c r="P12" s="241"/>
      <c r="Q12" s="241">
        <f ca="1">N12*O12</f>
        <v>0</v>
      </c>
      <c r="R12" s="277"/>
      <c r="S12" s="262">
        <f ca="1" t="shared" si="4"/>
        <v>-1955.8</v>
      </c>
      <c r="T12" s="257">
        <f ca="1" t="shared" si="5"/>
        <v>-8604.58</v>
      </c>
      <c r="U12" s="276" t="s">
        <v>45</v>
      </c>
    </row>
    <row r="13" s="137" customFormat="1" customHeight="1" spans="1:21">
      <c r="A13" s="234" t="str">
        <f>工程量核对表!A12</f>
        <v>（二）</v>
      </c>
      <c r="B13" s="235" t="str">
        <f>工程量核对表!B12</f>
        <v>C20砼镇支墩</v>
      </c>
      <c r="C13" s="236" t="str">
        <f>工程量核对表!C12</f>
        <v>个</v>
      </c>
      <c r="D13" s="237">
        <v>2</v>
      </c>
      <c r="E13" s="237">
        <v>500</v>
      </c>
      <c r="F13" s="237"/>
      <c r="G13" s="237">
        <v>1000</v>
      </c>
      <c r="H13" s="237"/>
      <c r="I13" s="237">
        <v>2</v>
      </c>
      <c r="J13" s="254">
        <f t="shared" si="3"/>
        <v>500</v>
      </c>
      <c r="K13" s="254"/>
      <c r="L13" s="237">
        <v>1000</v>
      </c>
      <c r="M13" s="255"/>
      <c r="N13" s="255">
        <f ca="1">工程量核对表!F12</f>
        <v>2</v>
      </c>
      <c r="O13" s="258">
        <f>E13/1.11*1.0319</f>
        <v>464.81981981982</v>
      </c>
      <c r="P13" s="237"/>
      <c r="Q13" s="237">
        <f ca="1">N13*O13</f>
        <v>929.63963963964</v>
      </c>
      <c r="R13" s="274"/>
      <c r="S13" s="278">
        <f ca="1" t="shared" si="4"/>
        <v>-70.36036036036</v>
      </c>
      <c r="T13" s="255">
        <f ca="1" t="shared" si="5"/>
        <v>-70.36036036036</v>
      </c>
      <c r="U13" s="279" t="s">
        <v>45</v>
      </c>
    </row>
    <row r="14" s="138" customFormat="1" customHeight="1" spans="1:21">
      <c r="A14" s="229" t="str">
        <f>工程量核对表!A13</f>
        <v>三</v>
      </c>
      <c r="B14" s="230" t="str">
        <f>工程量核对表!B13</f>
        <v>水厂工程</v>
      </c>
      <c r="C14" s="231"/>
      <c r="D14" s="232"/>
      <c r="E14" s="232"/>
      <c r="F14" s="232"/>
      <c r="G14" s="232">
        <v>151460.28</v>
      </c>
      <c r="H14" s="232"/>
      <c r="I14" s="232"/>
      <c r="J14" s="233"/>
      <c r="K14" s="233"/>
      <c r="L14" s="232">
        <v>166769.93</v>
      </c>
      <c r="M14" s="253"/>
      <c r="N14" s="253"/>
      <c r="O14" s="232"/>
      <c r="P14" s="232"/>
      <c r="Q14" s="232">
        <f ca="1">Q15+Q37+Q57+Q77+Q89+Q91+Q114+Q115</f>
        <v>106999.334971168</v>
      </c>
      <c r="R14" s="270"/>
      <c r="S14" s="232">
        <f ca="1">S15+S37+S57+S77+S89+S91+S114+S115</f>
        <v>-44460.9450288319</v>
      </c>
      <c r="T14" s="232">
        <f ca="1">T15+T37+T57+T77+T89+T91+T114+T115</f>
        <v>-59770.6250288319</v>
      </c>
      <c r="U14" s="280"/>
    </row>
    <row r="15" s="137" customFormat="1" customHeight="1" spans="1:21">
      <c r="A15" s="242" t="str">
        <f>工程量核对表!A14</f>
        <v>（一）</v>
      </c>
      <c r="B15" s="243" t="str">
        <f>工程量核对表!B14</f>
        <v>闸阀井</v>
      </c>
      <c r="C15" s="244" t="str">
        <f>工程量核对表!C14</f>
        <v>座</v>
      </c>
      <c r="D15" s="245">
        <v>2</v>
      </c>
      <c r="E15" s="245">
        <v>1284.01</v>
      </c>
      <c r="F15" s="245"/>
      <c r="G15" s="245">
        <v>2568.01</v>
      </c>
      <c r="H15" s="245"/>
      <c r="I15" s="245"/>
      <c r="J15" s="259"/>
      <c r="K15" s="259"/>
      <c r="L15" s="245">
        <v>4116.31</v>
      </c>
      <c r="M15" s="260"/>
      <c r="N15" s="260"/>
      <c r="O15" s="245"/>
      <c r="P15" s="245"/>
      <c r="Q15" s="245">
        <f ca="1">SUM(Q16:Q23,Q36)</f>
        <v>2514.67523199552</v>
      </c>
      <c r="R15" s="281"/>
      <c r="S15" s="245">
        <f ca="1">SUM(S16:S23,S36)</f>
        <v>-53.334768004483</v>
      </c>
      <c r="T15" s="245">
        <f ca="1">SUM(T16:T23,T36)</f>
        <v>-1601.63476800448</v>
      </c>
      <c r="U15" s="282"/>
    </row>
    <row r="16" s="137" customFormat="1" customHeight="1" spans="1:21">
      <c r="A16" s="246">
        <f>工程量核对表!A15</f>
        <v>1</v>
      </c>
      <c r="B16" s="247" t="str">
        <f>工程量核对表!B15</f>
        <v>土方开挖</v>
      </c>
      <c r="C16" s="178" t="str">
        <f>工程量核对表!C15</f>
        <v>m3</v>
      </c>
      <c r="D16" s="241">
        <v>3.06</v>
      </c>
      <c r="E16" s="241">
        <v>19.7</v>
      </c>
      <c r="F16" s="241"/>
      <c r="G16" s="241">
        <v>60.28</v>
      </c>
      <c r="H16" s="241"/>
      <c r="I16" s="241"/>
      <c r="J16" s="256">
        <f t="shared" ref="J16:J27" si="6">E16</f>
        <v>19.7</v>
      </c>
      <c r="K16" s="256"/>
      <c r="L16" s="241"/>
      <c r="M16" s="257"/>
      <c r="N16" s="257">
        <f ca="1">工程量核对表!F15</f>
        <v>0</v>
      </c>
      <c r="O16" s="241">
        <v>20.02</v>
      </c>
      <c r="P16" s="241"/>
      <c r="Q16" s="241">
        <f ca="1" t="shared" ref="Q16:Q22" si="7">N16*O16</f>
        <v>0</v>
      </c>
      <c r="R16" s="277"/>
      <c r="S16" s="262">
        <f ca="1" t="shared" si="4"/>
        <v>-60.28</v>
      </c>
      <c r="T16" s="257">
        <f ca="1" t="shared" si="5"/>
        <v>0</v>
      </c>
      <c r="U16" s="276" t="s">
        <v>45</v>
      </c>
    </row>
    <row r="17" s="137" customFormat="1" customHeight="1" spans="1:21">
      <c r="A17" s="246">
        <f>工程量核对表!A16</f>
        <v>2</v>
      </c>
      <c r="B17" s="247" t="str">
        <f>工程量核对表!B16</f>
        <v>石方开挖</v>
      </c>
      <c r="C17" s="178" t="str">
        <f>工程量核对表!C16</f>
        <v>m3</v>
      </c>
      <c r="D17" s="241">
        <v>2.12</v>
      </c>
      <c r="E17" s="241">
        <v>57.48</v>
      </c>
      <c r="F17" s="241"/>
      <c r="G17" s="241">
        <v>121.86</v>
      </c>
      <c r="H17" s="241"/>
      <c r="I17" s="241"/>
      <c r="J17" s="256">
        <f t="shared" si="6"/>
        <v>57.48</v>
      </c>
      <c r="K17" s="256"/>
      <c r="L17" s="241"/>
      <c r="M17" s="257"/>
      <c r="N17" s="257">
        <f ca="1">工程量核对表!F16</f>
        <v>0</v>
      </c>
      <c r="O17" s="241">
        <v>55.5</v>
      </c>
      <c r="P17" s="241"/>
      <c r="Q17" s="241">
        <f ca="1" t="shared" si="7"/>
        <v>0</v>
      </c>
      <c r="R17" s="283"/>
      <c r="S17" s="262">
        <f ca="1" t="shared" ref="S17:S24" si="8">Q17-G17</f>
        <v>-121.86</v>
      </c>
      <c r="T17" s="257">
        <f ca="1" t="shared" ref="T17:T24" si="9">Q17-L17</f>
        <v>0</v>
      </c>
      <c r="U17" s="276" t="s">
        <v>45</v>
      </c>
    </row>
    <row r="18" s="137" customFormat="1" customHeight="1" spans="1:21">
      <c r="A18" s="246">
        <f>工程量核对表!A17</f>
        <v>3</v>
      </c>
      <c r="B18" s="247" t="str">
        <f>工程量核对表!B17</f>
        <v>土方回填</v>
      </c>
      <c r="C18" s="178" t="str">
        <f>工程量核对表!C17</f>
        <v>m3</v>
      </c>
      <c r="D18" s="241">
        <v>0.84</v>
      </c>
      <c r="E18" s="241">
        <v>27.94</v>
      </c>
      <c r="F18" s="241"/>
      <c r="G18" s="241">
        <v>23.47</v>
      </c>
      <c r="H18" s="241"/>
      <c r="I18" s="241"/>
      <c r="J18" s="256">
        <f t="shared" si="6"/>
        <v>27.94</v>
      </c>
      <c r="K18" s="256"/>
      <c r="L18" s="241"/>
      <c r="M18" s="257"/>
      <c r="N18" s="257">
        <f ca="1">工程量核对表!F17</f>
        <v>0</v>
      </c>
      <c r="O18" s="241">
        <v>24.89</v>
      </c>
      <c r="P18" s="241"/>
      <c r="Q18" s="241">
        <f ca="1" t="shared" si="7"/>
        <v>0</v>
      </c>
      <c r="R18" s="277"/>
      <c r="S18" s="262">
        <f ca="1" t="shared" si="8"/>
        <v>-23.47</v>
      </c>
      <c r="T18" s="257">
        <f ca="1" t="shared" si="9"/>
        <v>0</v>
      </c>
      <c r="U18" s="276" t="s">
        <v>45</v>
      </c>
    </row>
    <row r="19" s="137" customFormat="1" customHeight="1" spans="1:21">
      <c r="A19" s="246">
        <f>工程量核对表!A18</f>
        <v>4</v>
      </c>
      <c r="B19" s="247" t="str">
        <f>工程量核对表!B18</f>
        <v>M7.5浆砌页岩砖</v>
      </c>
      <c r="C19" s="178" t="str">
        <f>工程量核对表!C18</f>
        <v>m3</v>
      </c>
      <c r="D19" s="241">
        <v>1.9</v>
      </c>
      <c r="E19" s="241">
        <v>637.15</v>
      </c>
      <c r="F19" s="241"/>
      <c r="G19" s="241">
        <v>1210.59</v>
      </c>
      <c r="H19" s="241"/>
      <c r="I19" s="241">
        <v>2.74</v>
      </c>
      <c r="J19" s="256">
        <f t="shared" si="6"/>
        <v>637.15</v>
      </c>
      <c r="K19" s="256"/>
      <c r="L19" s="241">
        <v>1745.79</v>
      </c>
      <c r="M19" s="257"/>
      <c r="N19" s="257">
        <f ca="1">工程量核对表!F18</f>
        <v>2.01216</v>
      </c>
      <c r="O19" s="241">
        <v>577.74</v>
      </c>
      <c r="P19" s="241"/>
      <c r="Q19" s="241">
        <f ca="1" t="shared" si="7"/>
        <v>1162.5053184</v>
      </c>
      <c r="R19" s="277"/>
      <c r="S19" s="262">
        <f ca="1" t="shared" si="8"/>
        <v>-48.0846815999998</v>
      </c>
      <c r="T19" s="257">
        <f ca="1" t="shared" si="9"/>
        <v>-583.2846816</v>
      </c>
      <c r="U19" s="276" t="s">
        <v>45</v>
      </c>
    </row>
    <row r="20" s="137" customFormat="1" customHeight="1" spans="1:21">
      <c r="A20" s="246">
        <f>工程量核对表!A19</f>
        <v>5</v>
      </c>
      <c r="B20" s="247" t="str">
        <f>工程量核对表!B19</f>
        <v>预制盖板C20砼</v>
      </c>
      <c r="C20" s="178" t="str">
        <f>工程量核对表!C19</f>
        <v>m3</v>
      </c>
      <c r="D20" s="241">
        <v>0.32</v>
      </c>
      <c r="E20" s="241">
        <v>607.42</v>
      </c>
      <c r="F20" s="241"/>
      <c r="G20" s="241">
        <v>194.37</v>
      </c>
      <c r="H20" s="241"/>
      <c r="I20" s="241">
        <v>0.26</v>
      </c>
      <c r="J20" s="256">
        <f t="shared" si="6"/>
        <v>607.42</v>
      </c>
      <c r="K20" s="256"/>
      <c r="L20" s="241">
        <v>157.93</v>
      </c>
      <c r="M20" s="257"/>
      <c r="N20" s="257">
        <f ca="1">工程量核对表!F19</f>
        <v>0.15022</v>
      </c>
      <c r="O20" s="241">
        <v>537.49</v>
      </c>
      <c r="P20" s="241"/>
      <c r="Q20" s="241">
        <f ca="1" t="shared" si="7"/>
        <v>80.7417478</v>
      </c>
      <c r="R20" s="277"/>
      <c r="S20" s="262">
        <f ca="1" t="shared" si="8"/>
        <v>-113.6282522</v>
      </c>
      <c r="T20" s="257">
        <f ca="1" t="shared" si="9"/>
        <v>-77.1882522</v>
      </c>
      <c r="U20" s="276" t="s">
        <v>45</v>
      </c>
    </row>
    <row r="21" s="138" customFormat="1" customHeight="1" spans="1:22">
      <c r="A21" s="246">
        <f>工程量核对表!A20</f>
        <v>6</v>
      </c>
      <c r="B21" s="247" t="str">
        <f>工程量核对表!B20</f>
        <v>盖板钢筋制安</v>
      </c>
      <c r="C21" s="178" t="str">
        <f>工程量核对表!C20</f>
        <v>t</v>
      </c>
      <c r="D21" s="248">
        <v>0.0054</v>
      </c>
      <c r="E21" s="241">
        <v>6333.7</v>
      </c>
      <c r="F21" s="241"/>
      <c r="G21" s="241">
        <v>34.2</v>
      </c>
      <c r="H21" s="241"/>
      <c r="I21" s="241">
        <v>0.09</v>
      </c>
      <c r="J21" s="256">
        <f t="shared" si="6"/>
        <v>6333.7</v>
      </c>
      <c r="K21" s="256"/>
      <c r="L21" s="241">
        <v>557.37</v>
      </c>
      <c r="M21" s="257"/>
      <c r="N21" s="261">
        <f ca="1">工程量核对表!F20</f>
        <v>0.0398002</v>
      </c>
      <c r="O21" s="241">
        <v>6413.9</v>
      </c>
      <c r="P21" s="241"/>
      <c r="Q21" s="241">
        <f ca="1" t="shared" si="7"/>
        <v>255.27450278</v>
      </c>
      <c r="R21" s="277"/>
      <c r="S21" s="262">
        <f ca="1" t="shared" si="8"/>
        <v>221.07450278</v>
      </c>
      <c r="T21" s="257">
        <f ca="1" t="shared" si="9"/>
        <v>-302.09549722</v>
      </c>
      <c r="U21" s="276" t="s">
        <v>45</v>
      </c>
      <c r="V21" s="137"/>
    </row>
    <row r="22" s="137" customFormat="1" customHeight="1" spans="1:21">
      <c r="A22" s="246">
        <f>工程量核对表!A21</f>
        <v>7</v>
      </c>
      <c r="B22" s="247" t="str">
        <f>工程量核对表!B21</f>
        <v>M10砂浆抹面</v>
      </c>
      <c r="C22" s="178" t="str">
        <f>工程量核对表!C21</f>
        <v>m2</v>
      </c>
      <c r="D22" s="241">
        <v>15.76</v>
      </c>
      <c r="E22" s="241">
        <v>20.51</v>
      </c>
      <c r="F22" s="241"/>
      <c r="G22" s="241">
        <v>323.24</v>
      </c>
      <c r="H22" s="241"/>
      <c r="I22" s="241">
        <v>22.78</v>
      </c>
      <c r="J22" s="256">
        <f t="shared" si="6"/>
        <v>20.51</v>
      </c>
      <c r="K22" s="256"/>
      <c r="L22" s="241">
        <v>467.22</v>
      </c>
      <c r="M22" s="257"/>
      <c r="N22" s="257">
        <f ca="1">工程量核对表!F21</f>
        <v>18.8224</v>
      </c>
      <c r="O22" s="241">
        <v>18.1</v>
      </c>
      <c r="P22" s="241"/>
      <c r="Q22" s="241">
        <f ca="1" t="shared" si="7"/>
        <v>340.68544</v>
      </c>
      <c r="R22" s="277"/>
      <c r="S22" s="262">
        <f ca="1" t="shared" si="8"/>
        <v>17.4454400000001</v>
      </c>
      <c r="T22" s="257">
        <f ca="1" t="shared" si="9"/>
        <v>-126.53456</v>
      </c>
      <c r="U22" s="276" t="s">
        <v>45</v>
      </c>
    </row>
    <row r="23" s="137" customFormat="1" ht="27" customHeight="1" spans="1:22">
      <c r="A23" s="246">
        <f>工程量核对表!A22</f>
        <v>8</v>
      </c>
      <c r="B23" s="247" t="str">
        <f>工程量核对表!B22</f>
        <v>人力二次转运材料（500元/t/km，运距0.2km）</v>
      </c>
      <c r="C23" s="178" t="str">
        <f>工程量核对表!C22</f>
        <v>t</v>
      </c>
      <c r="D23" s="241">
        <v>6</v>
      </c>
      <c r="E23" s="241">
        <v>100</v>
      </c>
      <c r="F23" s="241"/>
      <c r="G23" s="241">
        <v>600</v>
      </c>
      <c r="H23" s="241"/>
      <c r="I23" s="241">
        <v>8.6</v>
      </c>
      <c r="J23" s="256">
        <f t="shared" si="6"/>
        <v>100</v>
      </c>
      <c r="K23" s="256"/>
      <c r="L23" s="241">
        <v>860</v>
      </c>
      <c r="M23" s="257"/>
      <c r="N23" s="257"/>
      <c r="O23" s="241"/>
      <c r="P23" s="241"/>
      <c r="Q23" s="241">
        <f ca="1">Q24+Q30</f>
        <v>473.613853515517</v>
      </c>
      <c r="R23" s="277"/>
      <c r="S23" s="262">
        <f ca="1" t="shared" si="8"/>
        <v>-126.386146484483</v>
      </c>
      <c r="T23" s="257">
        <f ca="1" t="shared" si="9"/>
        <v>-386.386146484483</v>
      </c>
      <c r="U23" s="203"/>
      <c r="V23" s="198">
        <f ca="1">T23</f>
        <v>-386.386146484483</v>
      </c>
    </row>
    <row r="24" s="214" customFormat="1" customHeight="1" spans="1:21">
      <c r="A24" s="238"/>
      <c r="B24" s="239" t="s">
        <v>55</v>
      </c>
      <c r="C24" s="240"/>
      <c r="D24" s="249"/>
      <c r="E24" s="249"/>
      <c r="F24" s="249"/>
      <c r="G24" s="249"/>
      <c r="H24" s="249"/>
      <c r="I24" s="249"/>
      <c r="J24" s="262"/>
      <c r="K24" s="262"/>
      <c r="L24" s="249"/>
      <c r="M24" s="257"/>
      <c r="N24" s="257"/>
      <c r="O24" s="249"/>
      <c r="P24" s="249"/>
      <c r="Q24" s="249">
        <f ca="1">SUM(Q25:Q29)</f>
        <v>87.7751219092458</v>
      </c>
      <c r="R24" s="277"/>
      <c r="S24" s="262"/>
      <c r="T24" s="257"/>
      <c r="U24" s="284" t="s">
        <v>56</v>
      </c>
    </row>
    <row r="25" s="214" customFormat="1" customHeight="1" spans="1:21">
      <c r="A25" s="238"/>
      <c r="B25" s="239" t="s">
        <v>57</v>
      </c>
      <c r="C25" s="240" t="s">
        <v>58</v>
      </c>
      <c r="D25" s="249"/>
      <c r="E25" s="249"/>
      <c r="F25" s="249"/>
      <c r="G25" s="249"/>
      <c r="H25" s="249"/>
      <c r="I25" s="249"/>
      <c r="J25" s="262"/>
      <c r="K25" s="262"/>
      <c r="L25" s="249"/>
      <c r="M25" s="257"/>
      <c r="N25" s="257">
        <f ca="1">二转材料统计!K14</f>
        <v>0.213848979488</v>
      </c>
      <c r="O25" s="249">
        <v>35.77</v>
      </c>
      <c r="P25" s="249"/>
      <c r="Q25" s="249">
        <f ca="1">N25*O25</f>
        <v>7.64937799628576</v>
      </c>
      <c r="R25" s="277"/>
      <c r="S25" s="262"/>
      <c r="T25" s="257"/>
      <c r="U25" s="284"/>
    </row>
    <row r="26" s="214" customFormat="1" customHeight="1" spans="1:21">
      <c r="A26" s="238"/>
      <c r="B26" s="239" t="s">
        <v>59</v>
      </c>
      <c r="C26" s="240" t="s">
        <v>60</v>
      </c>
      <c r="D26" s="249"/>
      <c r="E26" s="249"/>
      <c r="F26" s="249"/>
      <c r="G26" s="249"/>
      <c r="H26" s="249"/>
      <c r="I26" s="249"/>
      <c r="J26" s="262"/>
      <c r="K26" s="262"/>
      <c r="L26" s="249"/>
      <c r="M26" s="257"/>
      <c r="N26" s="257">
        <f ca="1">二转材料统计!L14</f>
        <v>0.54036352</v>
      </c>
      <c r="O26" s="249">
        <v>46.5</v>
      </c>
      <c r="P26" s="249"/>
      <c r="Q26" s="249">
        <f ca="1" t="shared" ref="Q26:Q36" si="10">N26*O26</f>
        <v>25.12690368</v>
      </c>
      <c r="R26" s="277"/>
      <c r="S26" s="262"/>
      <c r="T26" s="257"/>
      <c r="U26" s="284"/>
    </row>
    <row r="27" s="214" customFormat="1" customHeight="1" spans="1:21">
      <c r="A27" s="238"/>
      <c r="B27" s="239" t="s">
        <v>61</v>
      </c>
      <c r="C27" s="240" t="s">
        <v>60</v>
      </c>
      <c r="D27" s="249"/>
      <c r="E27" s="249"/>
      <c r="F27" s="249"/>
      <c r="G27" s="249"/>
      <c r="H27" s="249"/>
      <c r="I27" s="249"/>
      <c r="J27" s="262"/>
      <c r="K27" s="262"/>
      <c r="L27" s="249"/>
      <c r="M27" s="257"/>
      <c r="N27" s="257">
        <f ca="1">二转材料统计!M14</f>
        <v>0.208919928</v>
      </c>
      <c r="O27" s="249">
        <v>53.64</v>
      </c>
      <c r="P27" s="249"/>
      <c r="Q27" s="249">
        <f ca="1" t="shared" si="10"/>
        <v>11.20646493792</v>
      </c>
      <c r="R27" s="277"/>
      <c r="S27" s="262"/>
      <c r="T27" s="257"/>
      <c r="U27" s="284"/>
    </row>
    <row r="28" s="214" customFormat="1" customHeight="1" spans="1:21">
      <c r="A28" s="238"/>
      <c r="B28" s="239" t="s">
        <v>62</v>
      </c>
      <c r="C28" s="240" t="s">
        <v>63</v>
      </c>
      <c r="D28" s="249"/>
      <c r="E28" s="249"/>
      <c r="F28" s="249"/>
      <c r="G28" s="249"/>
      <c r="H28" s="249"/>
      <c r="I28" s="249"/>
      <c r="J28" s="262"/>
      <c r="K28" s="262"/>
      <c r="L28" s="249"/>
      <c r="M28" s="257"/>
      <c r="N28" s="257">
        <f ca="1">二转材料统计!N14</f>
        <v>0.50033664</v>
      </c>
      <c r="O28" s="249">
        <f>O26*1.854</f>
        <v>86.211</v>
      </c>
      <c r="P28" s="249"/>
      <c r="Q28" s="249">
        <f ca="1" t="shared" si="10"/>
        <v>43.13452207104</v>
      </c>
      <c r="R28" s="277"/>
      <c r="S28" s="262"/>
      <c r="T28" s="257"/>
      <c r="U28" s="284"/>
    </row>
    <row r="29" s="214" customFormat="1" customHeight="1" spans="1:21">
      <c r="A29" s="238"/>
      <c r="B29" s="239" t="s">
        <v>64</v>
      </c>
      <c r="C29" s="240" t="s">
        <v>58</v>
      </c>
      <c r="D29" s="249"/>
      <c r="E29" s="249"/>
      <c r="F29" s="249"/>
      <c r="G29" s="249"/>
      <c r="H29" s="249"/>
      <c r="I29" s="249"/>
      <c r="J29" s="262"/>
      <c r="K29" s="262"/>
      <c r="L29" s="249"/>
      <c r="M29" s="257"/>
      <c r="N29" s="261">
        <f ca="1">工程量计算稿!E25</f>
        <v>0.0183912</v>
      </c>
      <c r="O29" s="249">
        <v>35.77</v>
      </c>
      <c r="P29" s="249"/>
      <c r="Q29" s="249">
        <f ca="1" t="shared" si="10"/>
        <v>0.657853224</v>
      </c>
      <c r="R29" s="277"/>
      <c r="S29" s="262"/>
      <c r="T29" s="257"/>
      <c r="U29" s="284"/>
    </row>
    <row r="30" s="214" customFormat="1" customHeight="1" spans="1:21">
      <c r="A30" s="238"/>
      <c r="B30" s="239" t="s">
        <v>65</v>
      </c>
      <c r="C30" s="240"/>
      <c r="D30" s="249"/>
      <c r="E30" s="249"/>
      <c r="F30" s="249"/>
      <c r="G30" s="249"/>
      <c r="H30" s="249"/>
      <c r="I30" s="249"/>
      <c r="J30" s="262"/>
      <c r="K30" s="262"/>
      <c r="L30" s="249"/>
      <c r="M30" s="257"/>
      <c r="N30" s="257"/>
      <c r="O30" s="249"/>
      <c r="P30" s="249"/>
      <c r="Q30" s="249">
        <f ca="1">SUM(Q31:Q35)</f>
        <v>385.838731606271</v>
      </c>
      <c r="R30" s="277"/>
      <c r="S30" s="262"/>
      <c r="T30" s="257"/>
      <c r="U30" s="284" t="s">
        <v>66</v>
      </c>
    </row>
    <row r="31" s="214" customFormat="1" customHeight="1" spans="1:21">
      <c r="A31" s="238"/>
      <c r="B31" s="239" t="s">
        <v>57</v>
      </c>
      <c r="C31" s="240" t="s">
        <v>58</v>
      </c>
      <c r="D31" s="249"/>
      <c r="E31" s="249"/>
      <c r="F31" s="249"/>
      <c r="G31" s="249"/>
      <c r="H31" s="249"/>
      <c r="I31" s="249"/>
      <c r="J31" s="262"/>
      <c r="K31" s="262"/>
      <c r="L31" s="249"/>
      <c r="M31" s="257"/>
      <c r="N31" s="257">
        <f ca="1">二转材料统计!K29</f>
        <v>0.248479957944</v>
      </c>
      <c r="O31" s="249">
        <v>136.02</v>
      </c>
      <c r="P31" s="249"/>
      <c r="Q31" s="249">
        <f ca="1" t="shared" si="10"/>
        <v>33.7982438795429</v>
      </c>
      <c r="R31" s="277"/>
      <c r="S31" s="262"/>
      <c r="T31" s="257"/>
      <c r="U31" s="284"/>
    </row>
    <row r="32" s="214" customFormat="1" customHeight="1" spans="1:21">
      <c r="A32" s="238"/>
      <c r="B32" s="239" t="s">
        <v>59</v>
      </c>
      <c r="C32" s="240" t="s">
        <v>60</v>
      </c>
      <c r="D32" s="249"/>
      <c r="E32" s="249"/>
      <c r="F32" s="249"/>
      <c r="G32" s="249"/>
      <c r="H32" s="249"/>
      <c r="I32" s="249"/>
      <c r="J32" s="262"/>
      <c r="K32" s="262"/>
      <c r="L32" s="249"/>
      <c r="M32" s="257"/>
      <c r="N32" s="257">
        <f ca="1">二转材料统计!L29</f>
        <v>0.62514336</v>
      </c>
      <c r="O32" s="249">
        <v>176.84</v>
      </c>
      <c r="P32" s="249"/>
      <c r="Q32" s="249">
        <f ca="1" t="shared" si="10"/>
        <v>110.5503517824</v>
      </c>
      <c r="R32" s="277"/>
      <c r="S32" s="262"/>
      <c r="T32" s="257"/>
      <c r="U32" s="284"/>
    </row>
    <row r="33" s="214" customFormat="1" customHeight="1" spans="1:21">
      <c r="A33" s="238"/>
      <c r="B33" s="239" t="s">
        <v>61</v>
      </c>
      <c r="C33" s="240" t="s">
        <v>60</v>
      </c>
      <c r="D33" s="249"/>
      <c r="E33" s="249"/>
      <c r="F33" s="249"/>
      <c r="G33" s="249"/>
      <c r="H33" s="249"/>
      <c r="I33" s="249"/>
      <c r="J33" s="262"/>
      <c r="K33" s="262"/>
      <c r="L33" s="249"/>
      <c r="M33" s="257"/>
      <c r="N33" s="257">
        <f ca="1">二转材料统计!M29</f>
        <v>0.246712354</v>
      </c>
      <c r="O33" s="249">
        <v>204.02</v>
      </c>
      <c r="P33" s="249"/>
      <c r="Q33" s="249">
        <f ca="1" t="shared" si="10"/>
        <v>50.33425446308</v>
      </c>
      <c r="R33" s="277"/>
      <c r="S33" s="262"/>
      <c r="T33" s="257"/>
      <c r="U33" s="284"/>
    </row>
    <row r="34" s="214" customFormat="1" customHeight="1" spans="1:21">
      <c r="A34" s="238"/>
      <c r="B34" s="239" t="s">
        <v>62</v>
      </c>
      <c r="C34" s="240" t="s">
        <v>63</v>
      </c>
      <c r="D34" s="249"/>
      <c r="E34" s="249"/>
      <c r="F34" s="249"/>
      <c r="G34" s="249"/>
      <c r="H34" s="249"/>
      <c r="I34" s="249"/>
      <c r="J34" s="262"/>
      <c r="K34" s="262"/>
      <c r="L34" s="249"/>
      <c r="M34" s="257"/>
      <c r="N34" s="257">
        <f ca="1">二转材料统计!N29</f>
        <v>0.5741568</v>
      </c>
      <c r="O34" s="249">
        <f>O32*1.854</f>
        <v>327.86136</v>
      </c>
      <c r="P34" s="249"/>
      <c r="Q34" s="249">
        <f ca="1" t="shared" si="10"/>
        <v>188.243829301248</v>
      </c>
      <c r="R34" s="277"/>
      <c r="S34" s="262"/>
      <c r="T34" s="257"/>
      <c r="U34" s="284"/>
    </row>
    <row r="35" s="214" customFormat="1" customHeight="1" spans="1:21">
      <c r="A35" s="238"/>
      <c r="B35" s="239" t="s">
        <v>64</v>
      </c>
      <c r="C35" s="240" t="s">
        <v>58</v>
      </c>
      <c r="D35" s="249"/>
      <c r="E35" s="249"/>
      <c r="F35" s="249"/>
      <c r="G35" s="249"/>
      <c r="H35" s="249"/>
      <c r="I35" s="249"/>
      <c r="J35" s="262"/>
      <c r="K35" s="262"/>
      <c r="L35" s="249"/>
      <c r="M35" s="257"/>
      <c r="N35" s="261">
        <f ca="1">工程量计算稿!E24</f>
        <v>0.021409</v>
      </c>
      <c r="O35" s="249">
        <v>136.02</v>
      </c>
      <c r="P35" s="249"/>
      <c r="Q35" s="249">
        <f ca="1" t="shared" si="10"/>
        <v>2.91205218</v>
      </c>
      <c r="R35" s="277"/>
      <c r="S35" s="262"/>
      <c r="T35" s="257"/>
      <c r="U35" s="284"/>
    </row>
    <row r="36" s="137" customFormat="1" customHeight="1" spans="1:21">
      <c r="A36" s="246">
        <f>工程量核对表!A23</f>
        <v>9</v>
      </c>
      <c r="B36" s="247" t="str">
        <f>工程量核对表!B23</f>
        <v>C20现浇砼底板</v>
      </c>
      <c r="C36" s="178"/>
      <c r="D36" s="241"/>
      <c r="E36" s="241"/>
      <c r="F36" s="241"/>
      <c r="G36" s="241"/>
      <c r="H36" s="241"/>
      <c r="I36" s="241">
        <v>0.54</v>
      </c>
      <c r="J36" s="256">
        <v>607.42</v>
      </c>
      <c r="K36" s="256"/>
      <c r="L36" s="241">
        <v>328</v>
      </c>
      <c r="M36" s="257"/>
      <c r="N36" s="257">
        <f ca="1">工程量核对表!F23</f>
        <v>0.37555</v>
      </c>
      <c r="O36" s="241">
        <v>537.49</v>
      </c>
      <c r="P36" s="241"/>
      <c r="Q36" s="241">
        <f ca="1" t="shared" si="10"/>
        <v>201.8543695</v>
      </c>
      <c r="R36" s="277"/>
      <c r="S36" s="262">
        <f ca="1">Q36-G36</f>
        <v>201.8543695</v>
      </c>
      <c r="T36" s="257">
        <f ca="1">Q36-L36</f>
        <v>-126.1456305</v>
      </c>
      <c r="U36" s="276" t="s">
        <v>45</v>
      </c>
    </row>
    <row r="37" s="137" customFormat="1" customHeight="1" spans="1:21">
      <c r="A37" s="242" t="str">
        <f>工程量核对表!A24</f>
        <v>（二）</v>
      </c>
      <c r="B37" s="243" t="str">
        <f>工程量核对表!B24</f>
        <v>新建50方清水池</v>
      </c>
      <c r="C37" s="244" t="str">
        <f>工程量核对表!C24</f>
        <v>座</v>
      </c>
      <c r="D37" s="245">
        <v>1</v>
      </c>
      <c r="E37" s="245">
        <v>36662.16</v>
      </c>
      <c r="F37" s="245"/>
      <c r="G37" s="245">
        <v>36662.16</v>
      </c>
      <c r="H37" s="245"/>
      <c r="I37" s="245"/>
      <c r="J37" s="259"/>
      <c r="K37" s="259"/>
      <c r="L37" s="245">
        <v>39126.84</v>
      </c>
      <c r="M37" s="260"/>
      <c r="N37" s="260"/>
      <c r="O37" s="245"/>
      <c r="P37" s="245"/>
      <c r="Q37" s="245">
        <f ca="1">SUM(Q38:Q50)</f>
        <v>31676.9722590874</v>
      </c>
      <c r="R37" s="281"/>
      <c r="S37" s="245">
        <f ca="1" t="shared" ref="Q37:T37" si="11">SUM(S38:S50)</f>
        <v>-4985.18774091263</v>
      </c>
      <c r="T37" s="245">
        <f ca="1" t="shared" si="11"/>
        <v>-7449.87774091263</v>
      </c>
      <c r="U37" s="285"/>
    </row>
    <row r="38" s="137" customFormat="1" customHeight="1" spans="1:21">
      <c r="A38" s="246">
        <f>工程量核对表!A25</f>
        <v>1</v>
      </c>
      <c r="B38" s="247" t="str">
        <f>工程量核对表!B25</f>
        <v>土方开挖</v>
      </c>
      <c r="C38" s="178" t="str">
        <f>工程量核对表!C25</f>
        <v>m3</v>
      </c>
      <c r="D38" s="241">
        <v>17.7</v>
      </c>
      <c r="E38" s="241">
        <v>19.7</v>
      </c>
      <c r="F38" s="241"/>
      <c r="G38" s="241">
        <v>348.69</v>
      </c>
      <c r="H38" s="241"/>
      <c r="I38" s="241">
        <v>90.06</v>
      </c>
      <c r="J38" s="256">
        <f t="shared" ref="J38:J50" si="12">E38</f>
        <v>19.7</v>
      </c>
      <c r="K38" s="256"/>
      <c r="L38" s="241">
        <v>1774.18</v>
      </c>
      <c r="M38" s="257"/>
      <c r="N38" s="257">
        <f ca="1">工程量核对表!F25</f>
        <v>60.46388082</v>
      </c>
      <c r="O38" s="241">
        <v>20.02</v>
      </c>
      <c r="P38" s="241"/>
      <c r="Q38" s="241">
        <f ca="1" t="shared" ref="Q37:Q64" si="13">N38*O38</f>
        <v>1210.4868940164</v>
      </c>
      <c r="R38" s="277"/>
      <c r="S38" s="262">
        <f ca="1">Q38-G38</f>
        <v>861.7968940164</v>
      </c>
      <c r="T38" s="257">
        <f ca="1">Q38-L38</f>
        <v>-563.6931059836</v>
      </c>
      <c r="U38" s="276" t="s">
        <v>45</v>
      </c>
    </row>
    <row r="39" s="137" customFormat="1" customHeight="1" spans="1:21">
      <c r="A39" s="246">
        <f>工程量核对表!A26</f>
        <v>2</v>
      </c>
      <c r="B39" s="247" t="str">
        <f>工程量核对表!B26</f>
        <v>石方开挖</v>
      </c>
      <c r="C39" s="178" t="str">
        <f>工程量核对表!C26</f>
        <v>m3</v>
      </c>
      <c r="D39" s="241">
        <v>70.81</v>
      </c>
      <c r="E39" s="241">
        <v>57.48</v>
      </c>
      <c r="F39" s="241"/>
      <c r="G39" s="241">
        <v>4070.16</v>
      </c>
      <c r="H39" s="241"/>
      <c r="I39" s="241">
        <v>38.6</v>
      </c>
      <c r="J39" s="256">
        <f t="shared" si="12"/>
        <v>57.48</v>
      </c>
      <c r="K39" s="256"/>
      <c r="L39" s="241">
        <v>2218.73</v>
      </c>
      <c r="M39" s="257"/>
      <c r="N39" s="257">
        <f ca="1">工程量核对表!F26</f>
        <v>25.91309178</v>
      </c>
      <c r="O39" s="241">
        <v>55.5</v>
      </c>
      <c r="P39" s="241"/>
      <c r="Q39" s="241">
        <f ca="1" t="shared" si="13"/>
        <v>1438.17659379</v>
      </c>
      <c r="R39" s="277"/>
      <c r="S39" s="262">
        <f ca="1" t="shared" ref="S39:S51" si="14">Q39-G39</f>
        <v>-2631.98340621</v>
      </c>
      <c r="T39" s="257">
        <f ca="1" t="shared" ref="T39:T51" si="15">Q39-L39</f>
        <v>-780.55340621</v>
      </c>
      <c r="U39" s="276" t="s">
        <v>45</v>
      </c>
    </row>
    <row r="40" s="137" customFormat="1" customHeight="1" spans="1:21">
      <c r="A40" s="246">
        <f>工程量核对表!A27</f>
        <v>3</v>
      </c>
      <c r="B40" s="247" t="str">
        <f>工程量核对表!B27</f>
        <v>土方回填</v>
      </c>
      <c r="C40" s="178" t="str">
        <f>工程量核对表!C27</f>
        <v>m3</v>
      </c>
      <c r="D40" s="241">
        <v>26.55</v>
      </c>
      <c r="E40" s="241">
        <v>27.94</v>
      </c>
      <c r="F40" s="241"/>
      <c r="G40" s="241">
        <v>741.81</v>
      </c>
      <c r="H40" s="241"/>
      <c r="I40" s="241">
        <v>54.02</v>
      </c>
      <c r="J40" s="256">
        <f t="shared" si="12"/>
        <v>27.94</v>
      </c>
      <c r="K40" s="256"/>
      <c r="L40" s="241">
        <v>1509.32</v>
      </c>
      <c r="M40" s="257"/>
      <c r="N40" s="257">
        <f ca="1">工程量核对表!F27</f>
        <v>17.299359</v>
      </c>
      <c r="O40" s="241">
        <v>24.89</v>
      </c>
      <c r="P40" s="241"/>
      <c r="Q40" s="241">
        <f ca="1" t="shared" si="13"/>
        <v>430.58104551</v>
      </c>
      <c r="R40" s="277"/>
      <c r="S40" s="262">
        <f ca="1" t="shared" si="14"/>
        <v>-311.22895449</v>
      </c>
      <c r="T40" s="257">
        <f ca="1" t="shared" si="15"/>
        <v>-1078.73895449</v>
      </c>
      <c r="U40" s="276" t="s">
        <v>45</v>
      </c>
    </row>
    <row r="41" s="137" customFormat="1" customHeight="1" spans="1:21">
      <c r="A41" s="246">
        <f>工程量核对表!A28</f>
        <v>4</v>
      </c>
      <c r="B41" s="247" t="str">
        <f>工程量核对表!B28</f>
        <v>30cm厚覆土</v>
      </c>
      <c r="C41" s="178" t="str">
        <f>工程量核对表!C28</f>
        <v>m3</v>
      </c>
      <c r="D41" s="241">
        <v>5.89</v>
      </c>
      <c r="E41" s="241">
        <v>27.94</v>
      </c>
      <c r="F41" s="241"/>
      <c r="G41" s="241">
        <v>164.57</v>
      </c>
      <c r="H41" s="241"/>
      <c r="I41" s="241">
        <v>6.17</v>
      </c>
      <c r="J41" s="256">
        <f t="shared" si="12"/>
        <v>27.94</v>
      </c>
      <c r="K41" s="256"/>
      <c r="L41" s="241">
        <v>172.39</v>
      </c>
      <c r="M41" s="257"/>
      <c r="N41" s="257">
        <f ca="1">工程量核对表!F28</f>
        <v>6.4662648</v>
      </c>
      <c r="O41" s="241">
        <v>24.89</v>
      </c>
      <c r="P41" s="241"/>
      <c r="Q41" s="241">
        <f ca="1" t="shared" si="13"/>
        <v>160.945330872</v>
      </c>
      <c r="R41" s="277"/>
      <c r="S41" s="262">
        <f ca="1" t="shared" si="14"/>
        <v>-3.62466912799997</v>
      </c>
      <c r="T41" s="257">
        <f ca="1" t="shared" si="15"/>
        <v>-11.444669128</v>
      </c>
      <c r="U41" s="276" t="s">
        <v>45</v>
      </c>
    </row>
    <row r="42" s="137" customFormat="1" customHeight="1" spans="1:21">
      <c r="A42" s="246">
        <f>工程量核对表!A29</f>
        <v>5</v>
      </c>
      <c r="B42" s="247" t="str">
        <f>工程量核对表!B29</f>
        <v>C25混凝土浇筑</v>
      </c>
      <c r="C42" s="178" t="str">
        <f>工程量核对表!C29</f>
        <v>m3</v>
      </c>
      <c r="D42" s="241">
        <v>9.68</v>
      </c>
      <c r="E42" s="241">
        <v>626.37</v>
      </c>
      <c r="F42" s="241"/>
      <c r="G42" s="241">
        <v>6063.26</v>
      </c>
      <c r="H42" s="241"/>
      <c r="I42" s="241">
        <v>11.65</v>
      </c>
      <c r="J42" s="256">
        <f t="shared" si="12"/>
        <v>626.37</v>
      </c>
      <c r="K42" s="256"/>
      <c r="L42" s="241">
        <v>7297.21</v>
      </c>
      <c r="M42" s="257"/>
      <c r="N42" s="257">
        <f ca="1">工程量核对表!F29</f>
        <v>9.2961303</v>
      </c>
      <c r="O42" s="241">
        <v>551.44</v>
      </c>
      <c r="P42" s="241"/>
      <c r="Q42" s="241">
        <f ca="1" t="shared" si="13"/>
        <v>5126.258092632</v>
      </c>
      <c r="R42" s="277"/>
      <c r="S42" s="262">
        <f ca="1" t="shared" si="14"/>
        <v>-937.001907368</v>
      </c>
      <c r="T42" s="257">
        <f ca="1" t="shared" si="15"/>
        <v>-2170.951907368</v>
      </c>
      <c r="U42" s="276" t="s">
        <v>45</v>
      </c>
    </row>
    <row r="43" s="137" customFormat="1" customHeight="1" spans="1:21">
      <c r="A43" s="246">
        <f>工程量核对表!A30</f>
        <v>6</v>
      </c>
      <c r="B43" s="247" t="str">
        <f>工程量核对表!B30</f>
        <v>模板制安</v>
      </c>
      <c r="C43" s="178" t="str">
        <f>工程量核对表!C30</f>
        <v>m2</v>
      </c>
      <c r="D43" s="241">
        <v>32.95</v>
      </c>
      <c r="E43" s="241">
        <v>58.41</v>
      </c>
      <c r="F43" s="241"/>
      <c r="G43" s="241">
        <v>1924.61</v>
      </c>
      <c r="H43" s="241"/>
      <c r="I43" s="241">
        <v>40.93</v>
      </c>
      <c r="J43" s="256">
        <f t="shared" si="12"/>
        <v>58.41</v>
      </c>
      <c r="K43" s="256"/>
      <c r="L43" s="241">
        <v>2390.72</v>
      </c>
      <c r="M43" s="257"/>
      <c r="N43" s="257">
        <f ca="1">工程量核对表!F30</f>
        <v>23.53556</v>
      </c>
      <c r="O43" s="249">
        <v>57.54</v>
      </c>
      <c r="P43" s="241"/>
      <c r="Q43" s="241">
        <f ca="1" t="shared" si="13"/>
        <v>1354.2361224</v>
      </c>
      <c r="R43" s="277"/>
      <c r="S43" s="262">
        <f ca="1" t="shared" si="14"/>
        <v>-570.3738776</v>
      </c>
      <c r="T43" s="257">
        <f ca="1" t="shared" si="15"/>
        <v>-1036.4838776</v>
      </c>
      <c r="U43" s="276" t="s">
        <v>45</v>
      </c>
    </row>
    <row r="44" s="137" customFormat="1" customHeight="1" spans="1:21">
      <c r="A44" s="246">
        <f>工程量核对表!A31</f>
        <v>7</v>
      </c>
      <c r="B44" s="247" t="str">
        <f>工程量核对表!B31</f>
        <v>钢筋制安</v>
      </c>
      <c r="C44" s="178" t="str">
        <f>工程量核对表!C31</f>
        <v>t</v>
      </c>
      <c r="D44" s="241">
        <v>0.49</v>
      </c>
      <c r="E44" s="241">
        <v>6333.7</v>
      </c>
      <c r="F44" s="241"/>
      <c r="G44" s="241">
        <v>3103.51</v>
      </c>
      <c r="H44" s="241"/>
      <c r="I44" s="241">
        <v>0.91</v>
      </c>
      <c r="J44" s="256">
        <f t="shared" si="12"/>
        <v>6333.7</v>
      </c>
      <c r="K44" s="256"/>
      <c r="L44" s="241">
        <v>5763.67</v>
      </c>
      <c r="M44" s="257"/>
      <c r="N44" s="261">
        <f ca="1">工程量核对表!F31</f>
        <v>0.88900968</v>
      </c>
      <c r="O44" s="241">
        <v>6413.9</v>
      </c>
      <c r="P44" s="241"/>
      <c r="Q44" s="241">
        <f ca="1" t="shared" si="13"/>
        <v>5702.019186552</v>
      </c>
      <c r="R44" s="277"/>
      <c r="S44" s="262">
        <f ca="1" t="shared" si="14"/>
        <v>2598.509186552</v>
      </c>
      <c r="T44" s="257">
        <f ca="1" t="shared" si="15"/>
        <v>-61.650813448</v>
      </c>
      <c r="U44" s="276" t="s">
        <v>45</v>
      </c>
    </row>
    <row r="45" s="137" customFormat="1" customHeight="1" spans="1:21">
      <c r="A45" s="246">
        <f>工程量核对表!A32</f>
        <v>8</v>
      </c>
      <c r="B45" s="247" t="str">
        <f>工程量核对表!B32</f>
        <v>M10砂浆抹面</v>
      </c>
      <c r="C45" s="178" t="str">
        <f>工程量核对表!C32</f>
        <v>m2</v>
      </c>
      <c r="D45" s="241">
        <v>175.62</v>
      </c>
      <c r="E45" s="241">
        <v>20.51</v>
      </c>
      <c r="F45" s="241"/>
      <c r="G45" s="241">
        <v>3601.97</v>
      </c>
      <c r="H45" s="241"/>
      <c r="I45" s="241">
        <v>114.84</v>
      </c>
      <c r="J45" s="256">
        <f t="shared" si="12"/>
        <v>20.51</v>
      </c>
      <c r="K45" s="256"/>
      <c r="L45" s="241">
        <v>2355.37</v>
      </c>
      <c r="M45" s="257"/>
      <c r="N45" s="257">
        <f ca="1">工程量核对表!F32</f>
        <v>63.485184</v>
      </c>
      <c r="O45" s="241">
        <v>18.1</v>
      </c>
      <c r="P45" s="241"/>
      <c r="Q45" s="241">
        <f ca="1" t="shared" si="13"/>
        <v>1149.0818304</v>
      </c>
      <c r="R45" s="277"/>
      <c r="S45" s="262">
        <f ca="1" t="shared" si="14"/>
        <v>-2452.8881696</v>
      </c>
      <c r="T45" s="257">
        <f ca="1" t="shared" si="15"/>
        <v>-1206.2881696</v>
      </c>
      <c r="U45" s="276" t="s">
        <v>45</v>
      </c>
    </row>
    <row r="46" s="137" customFormat="1" customHeight="1" spans="1:21">
      <c r="A46" s="246">
        <f>工程量核对表!A33</f>
        <v>9</v>
      </c>
      <c r="B46" s="247" t="str">
        <f>工程量核对表!B33</f>
        <v>池壁贴瓷砖</v>
      </c>
      <c r="C46" s="178" t="str">
        <f>工程量核对表!C33</f>
        <v>m2</v>
      </c>
      <c r="D46" s="241">
        <v>12.05</v>
      </c>
      <c r="E46" s="241">
        <v>95.34</v>
      </c>
      <c r="F46" s="241"/>
      <c r="G46" s="241">
        <v>1148.85</v>
      </c>
      <c r="H46" s="241"/>
      <c r="I46" s="241">
        <v>10.32</v>
      </c>
      <c r="J46" s="256">
        <f t="shared" si="12"/>
        <v>95.34</v>
      </c>
      <c r="K46" s="256"/>
      <c r="L46" s="241">
        <v>983.91</v>
      </c>
      <c r="M46" s="257"/>
      <c r="N46" s="257">
        <f ca="1">工程量核对表!F33</f>
        <v>10.32432</v>
      </c>
      <c r="O46" s="241">
        <v>92.92</v>
      </c>
      <c r="P46" s="241"/>
      <c r="Q46" s="241">
        <f ca="1" t="shared" si="13"/>
        <v>959.3358144</v>
      </c>
      <c r="R46" s="277"/>
      <c r="S46" s="262">
        <f ca="1" t="shared" si="14"/>
        <v>-189.5141856</v>
      </c>
      <c r="T46" s="257">
        <f ca="1" t="shared" si="15"/>
        <v>-24.5741856</v>
      </c>
      <c r="U46" s="276" t="s">
        <v>45</v>
      </c>
    </row>
    <row r="47" s="137" customFormat="1" customHeight="1" spans="1:21">
      <c r="A47" s="246">
        <f>工程量核对表!A34</f>
        <v>10</v>
      </c>
      <c r="B47" s="247" t="str">
        <f>工程量核对表!B34</f>
        <v>M7.5浆砌页岩砖</v>
      </c>
      <c r="C47" s="178" t="str">
        <f>工程量核对表!C34</f>
        <v>m3</v>
      </c>
      <c r="D47" s="241">
        <v>14.25</v>
      </c>
      <c r="E47" s="241">
        <v>637.15</v>
      </c>
      <c r="F47" s="241"/>
      <c r="G47" s="241">
        <v>9079.39</v>
      </c>
      <c r="H47" s="241"/>
      <c r="I47" s="241">
        <v>12.84</v>
      </c>
      <c r="J47" s="256">
        <f t="shared" si="12"/>
        <v>637.15</v>
      </c>
      <c r="K47" s="256"/>
      <c r="L47" s="241">
        <v>8181.01</v>
      </c>
      <c r="M47" s="257"/>
      <c r="N47" s="257">
        <f ca="1">工程量核对表!F34</f>
        <v>12.7149483</v>
      </c>
      <c r="O47" s="241">
        <v>577.74</v>
      </c>
      <c r="P47" s="241"/>
      <c r="Q47" s="241">
        <f ca="1" t="shared" si="13"/>
        <v>7345.934230842</v>
      </c>
      <c r="R47" s="277"/>
      <c r="S47" s="262">
        <f ca="1" t="shared" si="14"/>
        <v>-1733.455769158</v>
      </c>
      <c r="T47" s="257">
        <f ca="1" t="shared" si="15"/>
        <v>-835.075769157998</v>
      </c>
      <c r="U47" s="276" t="s">
        <v>45</v>
      </c>
    </row>
    <row r="48" s="137" customFormat="1" customHeight="1" spans="1:21">
      <c r="A48" s="246">
        <f>工程量核对表!A35</f>
        <v>11</v>
      </c>
      <c r="B48" s="247" t="str">
        <f>工程量核对表!B35</f>
        <v>铁梯制安</v>
      </c>
      <c r="C48" s="178" t="str">
        <f>工程量核对表!C35</f>
        <v>t</v>
      </c>
      <c r="D48" s="241">
        <v>0.01</v>
      </c>
      <c r="E48" s="241">
        <v>6533.67</v>
      </c>
      <c r="F48" s="241"/>
      <c r="G48" s="241">
        <v>65.34</v>
      </c>
      <c r="H48" s="241"/>
      <c r="I48" s="241">
        <v>0.01</v>
      </c>
      <c r="J48" s="256">
        <f t="shared" si="12"/>
        <v>6533.67</v>
      </c>
      <c r="K48" s="256"/>
      <c r="L48" s="241">
        <v>65.34</v>
      </c>
      <c r="M48" s="257"/>
      <c r="N48" s="257">
        <f ca="1">工程量核对表!F35</f>
        <v>0.01</v>
      </c>
      <c r="O48" s="241">
        <v>6616.4</v>
      </c>
      <c r="P48" s="241"/>
      <c r="Q48" s="241">
        <f ca="1" t="shared" si="13"/>
        <v>66.164</v>
      </c>
      <c r="R48" s="277"/>
      <c r="S48" s="262">
        <f ca="1" t="shared" si="14"/>
        <v>0.823999999999998</v>
      </c>
      <c r="T48" s="257">
        <f ca="1" t="shared" si="15"/>
        <v>0.823999999999998</v>
      </c>
      <c r="U48" s="276" t="s">
        <v>45</v>
      </c>
    </row>
    <row r="49" s="137" customFormat="1" customHeight="1" spans="1:21">
      <c r="A49" s="246">
        <f>工程量核对表!A36</f>
        <v>12</v>
      </c>
      <c r="B49" s="247" t="str">
        <f>工程量核对表!B36</f>
        <v>通气、进人孔</v>
      </c>
      <c r="C49" s="178" t="str">
        <f>工程量核对表!C36</f>
        <v>套</v>
      </c>
      <c r="D49" s="241">
        <v>1</v>
      </c>
      <c r="E49" s="241">
        <v>450</v>
      </c>
      <c r="F49" s="241"/>
      <c r="G49" s="241">
        <v>450</v>
      </c>
      <c r="H49" s="241"/>
      <c r="I49" s="241">
        <v>1</v>
      </c>
      <c r="J49" s="256">
        <f t="shared" si="12"/>
        <v>450</v>
      </c>
      <c r="K49" s="256"/>
      <c r="L49" s="241">
        <v>450</v>
      </c>
      <c r="M49" s="257"/>
      <c r="N49" s="257">
        <f ca="1">工程量核对表!F36</f>
        <v>1</v>
      </c>
      <c r="O49" s="249">
        <f>E49/1.11*1.0319</f>
        <v>418.337837837838</v>
      </c>
      <c r="P49" s="241"/>
      <c r="Q49" s="241">
        <f ca="1" t="shared" si="13"/>
        <v>418.337837837838</v>
      </c>
      <c r="R49" s="277"/>
      <c r="S49" s="262">
        <f ca="1" t="shared" si="14"/>
        <v>-31.662162162162</v>
      </c>
      <c r="T49" s="257">
        <f ca="1" t="shared" si="15"/>
        <v>-31.662162162162</v>
      </c>
      <c r="U49" s="276" t="s">
        <v>45</v>
      </c>
    </row>
    <row r="50" s="137" customFormat="1" customHeight="1" spans="1:22">
      <c r="A50" s="246">
        <f>工程量核对表!A37</f>
        <v>13</v>
      </c>
      <c r="B50" s="247" t="str">
        <f>工程量核对表!B37</f>
        <v>人力二次转运材料（500元/t/km，运距0.2km）</v>
      </c>
      <c r="C50" s="178" t="str">
        <f>工程量核对表!C37</f>
        <v>t</v>
      </c>
      <c r="D50" s="241">
        <v>59</v>
      </c>
      <c r="E50" s="241">
        <v>100</v>
      </c>
      <c r="F50" s="241"/>
      <c r="G50" s="241">
        <v>5900</v>
      </c>
      <c r="H50" s="241"/>
      <c r="I50" s="241">
        <v>59.65</v>
      </c>
      <c r="J50" s="256">
        <f t="shared" si="12"/>
        <v>100</v>
      </c>
      <c r="K50" s="256"/>
      <c r="L50" s="241">
        <v>5965</v>
      </c>
      <c r="M50" s="257"/>
      <c r="N50" s="257"/>
      <c r="O50" s="241"/>
      <c r="P50" s="241"/>
      <c r="Q50" s="241">
        <f ca="1">Q51</f>
        <v>6315.41527983513</v>
      </c>
      <c r="R50" s="277"/>
      <c r="S50" s="262">
        <f ca="1" t="shared" si="14"/>
        <v>415.415279835126</v>
      </c>
      <c r="T50" s="257">
        <f ca="1" t="shared" si="15"/>
        <v>350.415279835126</v>
      </c>
      <c r="U50" s="203"/>
      <c r="V50" s="198">
        <f ca="1">T50</f>
        <v>350.415279835126</v>
      </c>
    </row>
    <row r="51" s="214" customFormat="1" customHeight="1" spans="1:22">
      <c r="A51" s="238"/>
      <c r="B51" s="239" t="s">
        <v>65</v>
      </c>
      <c r="C51" s="240"/>
      <c r="D51" s="249"/>
      <c r="E51" s="249"/>
      <c r="F51" s="249"/>
      <c r="G51" s="249"/>
      <c r="H51" s="249"/>
      <c r="I51" s="249"/>
      <c r="J51" s="262"/>
      <c r="K51" s="262"/>
      <c r="L51" s="249"/>
      <c r="M51" s="257"/>
      <c r="N51" s="257"/>
      <c r="O51" s="249"/>
      <c r="P51" s="249"/>
      <c r="Q51" s="249">
        <f ca="1">SUM(Q52:Q56)</f>
        <v>6315.41527983513</v>
      </c>
      <c r="R51" s="277"/>
      <c r="S51" s="262"/>
      <c r="T51" s="257"/>
      <c r="U51" s="284" t="s">
        <v>66</v>
      </c>
      <c r="V51" s="286">
        <f>T51</f>
        <v>0</v>
      </c>
    </row>
    <row r="52" s="214" customFormat="1" customHeight="1" spans="1:21">
      <c r="A52" s="238"/>
      <c r="B52" s="239" t="s">
        <v>57</v>
      </c>
      <c r="C52" s="240" t="s">
        <v>58</v>
      </c>
      <c r="D52" s="249"/>
      <c r="E52" s="249"/>
      <c r="F52" s="249"/>
      <c r="G52" s="249"/>
      <c r="H52" s="249"/>
      <c r="I52" s="249"/>
      <c r="J52" s="262"/>
      <c r="K52" s="262"/>
      <c r="L52" s="249"/>
      <c r="M52" s="257"/>
      <c r="N52" s="257">
        <f ca="1">二转材料统计!Q29</f>
        <v>4.87505197493973</v>
      </c>
      <c r="O52" s="249">
        <v>136.02</v>
      </c>
      <c r="P52" s="249"/>
      <c r="Q52" s="249">
        <f ca="1">N52*O52</f>
        <v>663.104569631302</v>
      </c>
      <c r="R52" s="277"/>
      <c r="S52" s="262"/>
      <c r="T52" s="257"/>
      <c r="U52" s="284"/>
    </row>
    <row r="53" s="214" customFormat="1" customHeight="1" spans="1:21">
      <c r="A53" s="238"/>
      <c r="B53" s="239" t="s">
        <v>59</v>
      </c>
      <c r="C53" s="240" t="s">
        <v>60</v>
      </c>
      <c r="D53" s="249"/>
      <c r="E53" s="249"/>
      <c r="F53" s="249"/>
      <c r="G53" s="249"/>
      <c r="H53" s="249"/>
      <c r="I53" s="249"/>
      <c r="J53" s="262"/>
      <c r="K53" s="262"/>
      <c r="L53" s="249"/>
      <c r="M53" s="257"/>
      <c r="N53" s="257">
        <f ca="1">二转材料统计!R29</f>
        <v>9.38888031057</v>
      </c>
      <c r="O53" s="249">
        <v>176.84</v>
      </c>
      <c r="P53" s="249"/>
      <c r="Q53" s="249">
        <f ca="1">N53*O53</f>
        <v>1660.3295941212</v>
      </c>
      <c r="R53" s="277"/>
      <c r="S53" s="262"/>
      <c r="T53" s="257"/>
      <c r="U53" s="284"/>
    </row>
    <row r="54" s="214" customFormat="1" customHeight="1" spans="1:21">
      <c r="A54" s="238"/>
      <c r="B54" s="239" t="s">
        <v>61</v>
      </c>
      <c r="C54" s="240" t="s">
        <v>60</v>
      </c>
      <c r="D54" s="249"/>
      <c r="E54" s="249"/>
      <c r="F54" s="249"/>
      <c r="G54" s="249"/>
      <c r="H54" s="249"/>
      <c r="I54" s="249"/>
      <c r="J54" s="262"/>
      <c r="K54" s="262"/>
      <c r="L54" s="249"/>
      <c r="M54" s="257"/>
      <c r="N54" s="257">
        <f ca="1">二转材料统计!S29</f>
        <v>8.05602651798</v>
      </c>
      <c r="O54" s="249">
        <v>204.02</v>
      </c>
      <c r="P54" s="249"/>
      <c r="Q54" s="249">
        <f ca="1">N54*O54</f>
        <v>1643.59053019828</v>
      </c>
      <c r="R54" s="277"/>
      <c r="S54" s="262"/>
      <c r="T54" s="257"/>
      <c r="U54" s="284"/>
    </row>
    <row r="55" s="214" customFormat="1" customHeight="1" spans="1:21">
      <c r="A55" s="238"/>
      <c r="B55" s="239" t="s">
        <v>62</v>
      </c>
      <c r="C55" s="240" t="s">
        <v>63</v>
      </c>
      <c r="D55" s="249"/>
      <c r="E55" s="249"/>
      <c r="F55" s="249"/>
      <c r="G55" s="249"/>
      <c r="H55" s="249"/>
      <c r="I55" s="249"/>
      <c r="J55" s="262"/>
      <c r="K55" s="262"/>
      <c r="L55" s="249"/>
      <c r="M55" s="257"/>
      <c r="N55" s="257">
        <f ca="1">二转材料统计!T29</f>
        <v>6.7897823922</v>
      </c>
      <c r="O55" s="249">
        <f>O53*1.854</f>
        <v>327.86136</v>
      </c>
      <c r="P55" s="249"/>
      <c r="Q55" s="249">
        <f ca="1">N55*O55</f>
        <v>2226.10728921075</v>
      </c>
      <c r="R55" s="277"/>
      <c r="S55" s="262"/>
      <c r="T55" s="257"/>
      <c r="U55" s="284"/>
    </row>
    <row r="56" s="214" customFormat="1" customHeight="1" spans="1:21">
      <c r="A56" s="238"/>
      <c r="B56" s="239" t="s">
        <v>64</v>
      </c>
      <c r="C56" s="240" t="s">
        <v>58</v>
      </c>
      <c r="D56" s="249"/>
      <c r="E56" s="249"/>
      <c r="F56" s="249"/>
      <c r="G56" s="249"/>
      <c r="H56" s="249"/>
      <c r="I56" s="249"/>
      <c r="J56" s="262"/>
      <c r="K56" s="262"/>
      <c r="L56" s="249"/>
      <c r="M56" s="257"/>
      <c r="N56" s="261">
        <f ca="1">N44+N48</f>
        <v>0.89900968</v>
      </c>
      <c r="O56" s="249">
        <v>136.02</v>
      </c>
      <c r="P56" s="249"/>
      <c r="Q56" s="249">
        <f ca="1">N56*O56</f>
        <v>122.2832966736</v>
      </c>
      <c r="R56" s="277"/>
      <c r="S56" s="262"/>
      <c r="T56" s="257"/>
      <c r="U56" s="284"/>
    </row>
    <row r="57" s="137" customFormat="1" customHeight="1" spans="1:21">
      <c r="A57" s="242" t="str">
        <f>工程量核对表!A38</f>
        <v>（三）</v>
      </c>
      <c r="B57" s="243" t="str">
        <f>工程量核对表!B38</f>
        <v>新建80方清水池</v>
      </c>
      <c r="C57" s="244" t="str">
        <f>工程量核对表!C38</f>
        <v>座</v>
      </c>
      <c r="D57" s="245">
        <v>1</v>
      </c>
      <c r="E57" s="245">
        <v>46763.71</v>
      </c>
      <c r="F57" s="245"/>
      <c r="G57" s="245">
        <v>46763.71</v>
      </c>
      <c r="H57" s="245"/>
      <c r="I57" s="245"/>
      <c r="J57" s="259"/>
      <c r="K57" s="259"/>
      <c r="L57" s="245">
        <v>72257.64</v>
      </c>
      <c r="M57" s="260"/>
      <c r="N57" s="260"/>
      <c r="O57" s="245"/>
      <c r="P57" s="245"/>
      <c r="Q57" s="245">
        <f ca="1">SUM(Q58:Q70)</f>
        <v>31062.5587324546</v>
      </c>
      <c r="R57" s="281"/>
      <c r="S57" s="245">
        <f ca="1" t="shared" ref="Q57:T57" si="16">SUM(S58:S70)</f>
        <v>-15701.1512675454</v>
      </c>
      <c r="T57" s="245">
        <f ca="1" t="shared" si="16"/>
        <v>-41195.0912675454</v>
      </c>
      <c r="U57" s="287"/>
    </row>
    <row r="58" s="137" customFormat="1" customHeight="1" spans="1:21">
      <c r="A58" s="246">
        <f>工程量核对表!A39</f>
        <v>1</v>
      </c>
      <c r="B58" s="247" t="str">
        <f>工程量核对表!B39</f>
        <v>土方开挖</v>
      </c>
      <c r="C58" s="178" t="str">
        <f>工程量核对表!C39</f>
        <v>m3</v>
      </c>
      <c r="D58" s="241">
        <v>23.89</v>
      </c>
      <c r="E58" s="241">
        <v>19.7</v>
      </c>
      <c r="F58" s="241"/>
      <c r="G58" s="241">
        <v>470.63</v>
      </c>
      <c r="H58" s="241"/>
      <c r="I58" s="241">
        <v>174.31</v>
      </c>
      <c r="J58" s="256">
        <f t="shared" ref="J57:J70" si="17">E58</f>
        <v>19.7</v>
      </c>
      <c r="K58" s="256"/>
      <c r="L58" s="241">
        <v>3433.91</v>
      </c>
      <c r="M58" s="257"/>
      <c r="N58" s="257">
        <f ca="1">工程量核对表!F39</f>
        <v>83.10417101</v>
      </c>
      <c r="O58" s="241">
        <v>20.02</v>
      </c>
      <c r="P58" s="241"/>
      <c r="Q58" s="241">
        <f ca="1">N58*O58</f>
        <v>1663.7455036202</v>
      </c>
      <c r="R58" s="277"/>
      <c r="S58" s="262">
        <f ca="1">Q58-G58</f>
        <v>1193.1155036202</v>
      </c>
      <c r="T58" s="257">
        <f ca="1">Q58-L58</f>
        <v>-1770.1644963798</v>
      </c>
      <c r="U58" s="276" t="s">
        <v>45</v>
      </c>
    </row>
    <row r="59" s="137" customFormat="1" customHeight="1" spans="1:21">
      <c r="A59" s="246">
        <f>工程量核对表!A40</f>
        <v>2</v>
      </c>
      <c r="B59" s="247" t="str">
        <f>工程量核对表!B40</f>
        <v>石方开挖</v>
      </c>
      <c r="C59" s="178" t="str">
        <f>工程量核对表!C40</f>
        <v>m3</v>
      </c>
      <c r="D59" s="241">
        <v>95.56</v>
      </c>
      <c r="E59" s="241">
        <v>57.48</v>
      </c>
      <c r="F59" s="241"/>
      <c r="G59" s="241">
        <v>5492.79</v>
      </c>
      <c r="H59" s="241"/>
      <c r="I59" s="241">
        <v>74.7</v>
      </c>
      <c r="J59" s="256">
        <f t="shared" si="17"/>
        <v>57.48</v>
      </c>
      <c r="K59" s="256"/>
      <c r="L59" s="241">
        <v>4293.76</v>
      </c>
      <c r="M59" s="257"/>
      <c r="N59" s="257">
        <f ca="1">工程量核对表!F40</f>
        <v>35.61607329</v>
      </c>
      <c r="O59" s="241">
        <v>55.5</v>
      </c>
      <c r="P59" s="241"/>
      <c r="Q59" s="241">
        <f ca="1" t="shared" ref="Q59:Q75" si="18">N59*O59</f>
        <v>1976.692067595</v>
      </c>
      <c r="R59" s="277"/>
      <c r="S59" s="262">
        <f ca="1" t="shared" ref="S59:S71" si="19">Q59-G59</f>
        <v>-3516.097932405</v>
      </c>
      <c r="T59" s="257">
        <f ca="1" t="shared" ref="T59:T71" si="20">Q59-L59</f>
        <v>-2317.067932405</v>
      </c>
      <c r="U59" s="276" t="s">
        <v>45</v>
      </c>
    </row>
    <row r="60" s="137" customFormat="1" customHeight="1" spans="1:21">
      <c r="A60" s="246">
        <f>工程量核对表!A41</f>
        <v>3</v>
      </c>
      <c r="B60" s="247" t="str">
        <f>工程量核对表!B41</f>
        <v>土方回填</v>
      </c>
      <c r="C60" s="178" t="str">
        <f>工程量核对表!C41</f>
        <v>m3</v>
      </c>
      <c r="D60" s="241">
        <v>35.84</v>
      </c>
      <c r="E60" s="241">
        <v>27.94</v>
      </c>
      <c r="F60" s="241"/>
      <c r="G60" s="241">
        <v>1001.37</v>
      </c>
      <c r="H60" s="241"/>
      <c r="I60" s="241">
        <v>78.78</v>
      </c>
      <c r="J60" s="256">
        <f t="shared" si="17"/>
        <v>27.94</v>
      </c>
      <c r="K60" s="256"/>
      <c r="L60" s="241">
        <v>2201.11</v>
      </c>
      <c r="M60" s="257"/>
      <c r="N60" s="257">
        <f ca="1">工程量核对表!F41</f>
        <v>20.6419675</v>
      </c>
      <c r="O60" s="241">
        <v>24.89</v>
      </c>
      <c r="P60" s="241"/>
      <c r="Q60" s="241">
        <f ca="1" t="shared" si="18"/>
        <v>513.778571075</v>
      </c>
      <c r="R60" s="277"/>
      <c r="S60" s="262">
        <f ca="1" t="shared" si="19"/>
        <v>-487.591428925</v>
      </c>
      <c r="T60" s="257">
        <f ca="1" t="shared" si="20"/>
        <v>-1687.331428925</v>
      </c>
      <c r="U60" s="276" t="s">
        <v>45</v>
      </c>
    </row>
    <row r="61" s="137" customFormat="1" customHeight="1" spans="1:21">
      <c r="A61" s="246">
        <f>工程量核对表!A42</f>
        <v>4</v>
      </c>
      <c r="B61" s="247" t="str">
        <f>工程量核对表!B42</f>
        <v>30cm厚覆土</v>
      </c>
      <c r="C61" s="178" t="str">
        <f>工程量核对表!C42</f>
        <v>m3</v>
      </c>
      <c r="D61" s="241">
        <v>8.48</v>
      </c>
      <c r="E61" s="241">
        <v>27.94</v>
      </c>
      <c r="F61" s="241"/>
      <c r="G61" s="241">
        <v>236.93</v>
      </c>
      <c r="H61" s="241"/>
      <c r="I61" s="241">
        <v>15.53</v>
      </c>
      <c r="J61" s="256">
        <f t="shared" si="17"/>
        <v>27.94</v>
      </c>
      <c r="K61" s="256"/>
      <c r="L61" s="241">
        <v>433.91</v>
      </c>
      <c r="M61" s="257"/>
      <c r="N61" s="257">
        <f ca="1">工程量核对表!F42</f>
        <v>7.641504</v>
      </c>
      <c r="O61" s="241">
        <v>24.89</v>
      </c>
      <c r="P61" s="241"/>
      <c r="Q61" s="241">
        <f ca="1" t="shared" si="18"/>
        <v>190.19703456</v>
      </c>
      <c r="R61" s="277"/>
      <c r="S61" s="262">
        <f ca="1" t="shared" si="19"/>
        <v>-46.73296544</v>
      </c>
      <c r="T61" s="257">
        <f ca="1" t="shared" si="20"/>
        <v>-243.71296544</v>
      </c>
      <c r="U61" s="276" t="s">
        <v>45</v>
      </c>
    </row>
    <row r="62" s="137" customFormat="1" customHeight="1" spans="1:21">
      <c r="A62" s="246">
        <f>工程量核对表!A43</f>
        <v>5</v>
      </c>
      <c r="B62" s="247" t="str">
        <f>工程量核对表!B43</f>
        <v>C25混凝土浇筑</v>
      </c>
      <c r="C62" s="178" t="str">
        <f>工程量核对表!C43</f>
        <v>m3</v>
      </c>
      <c r="D62" s="241">
        <v>13.16</v>
      </c>
      <c r="E62" s="241">
        <v>626.37</v>
      </c>
      <c r="F62" s="241"/>
      <c r="G62" s="241">
        <v>8243.03</v>
      </c>
      <c r="H62" s="241"/>
      <c r="I62" s="241">
        <v>27.76</v>
      </c>
      <c r="J62" s="256">
        <f t="shared" si="17"/>
        <v>626.37</v>
      </c>
      <c r="K62" s="256"/>
      <c r="L62" s="241">
        <v>17388.03</v>
      </c>
      <c r="M62" s="257"/>
      <c r="N62" s="257">
        <f ca="1">工程量核对表!F43</f>
        <v>9.4009528</v>
      </c>
      <c r="O62" s="241">
        <v>551.44</v>
      </c>
      <c r="P62" s="241"/>
      <c r="Q62" s="241">
        <f ca="1" t="shared" si="18"/>
        <v>5184.061412032</v>
      </c>
      <c r="R62" s="277"/>
      <c r="S62" s="262">
        <f ca="1" t="shared" si="19"/>
        <v>-3058.968587968</v>
      </c>
      <c r="T62" s="257">
        <f ca="1" t="shared" si="20"/>
        <v>-12203.968587968</v>
      </c>
      <c r="U62" s="276" t="s">
        <v>45</v>
      </c>
    </row>
    <row r="63" s="137" customFormat="1" customHeight="1" spans="1:21">
      <c r="A63" s="246">
        <f>工程量核对表!A44</f>
        <v>6</v>
      </c>
      <c r="B63" s="247" t="str">
        <f>工程量核对表!B44</f>
        <v>模板制安</v>
      </c>
      <c r="C63" s="178" t="str">
        <f>工程量核对表!C44</f>
        <v>m2</v>
      </c>
      <c r="D63" s="241">
        <v>43.23</v>
      </c>
      <c r="E63" s="241">
        <v>58.41</v>
      </c>
      <c r="F63" s="241"/>
      <c r="G63" s="241">
        <v>2525.06</v>
      </c>
      <c r="H63" s="241"/>
      <c r="I63" s="241">
        <v>83.13</v>
      </c>
      <c r="J63" s="256">
        <f t="shared" si="17"/>
        <v>58.41</v>
      </c>
      <c r="K63" s="256"/>
      <c r="L63" s="241">
        <v>4855.62</v>
      </c>
      <c r="M63" s="257"/>
      <c r="N63" s="257">
        <f ca="1">工程量核对表!F44</f>
        <v>33.34256</v>
      </c>
      <c r="O63" s="249">
        <v>57.54</v>
      </c>
      <c r="P63" s="241"/>
      <c r="Q63" s="241">
        <f ca="1" t="shared" si="18"/>
        <v>1918.5309024</v>
      </c>
      <c r="R63" s="277"/>
      <c r="S63" s="262">
        <f ca="1" t="shared" si="19"/>
        <v>-606.5290976</v>
      </c>
      <c r="T63" s="257">
        <f ca="1" t="shared" si="20"/>
        <v>-2937.0890976</v>
      </c>
      <c r="U63" s="276" t="s">
        <v>45</v>
      </c>
    </row>
    <row r="64" s="137" customFormat="1" customHeight="1" spans="1:21">
      <c r="A64" s="246">
        <f>工程量核对表!A45</f>
        <v>7</v>
      </c>
      <c r="B64" s="247" t="str">
        <f>工程量核对表!B45</f>
        <v>钢筋制安</v>
      </c>
      <c r="C64" s="178" t="str">
        <f>工程量核对表!C45</f>
        <v>t</v>
      </c>
      <c r="D64" s="241">
        <v>0.66</v>
      </c>
      <c r="E64" s="241">
        <v>6333.7</v>
      </c>
      <c r="F64" s="241"/>
      <c r="G64" s="241">
        <v>4180.24</v>
      </c>
      <c r="H64" s="241"/>
      <c r="I64" s="241">
        <v>1.85</v>
      </c>
      <c r="J64" s="256">
        <f t="shared" si="17"/>
        <v>6333.7</v>
      </c>
      <c r="K64" s="256"/>
      <c r="L64" s="241">
        <v>11717.35</v>
      </c>
      <c r="M64" s="257"/>
      <c r="N64" s="261">
        <f ca="1">工程量核对表!F45</f>
        <v>1.22054756</v>
      </c>
      <c r="O64" s="241">
        <v>6413.9</v>
      </c>
      <c r="P64" s="241"/>
      <c r="Q64" s="241">
        <f ca="1" t="shared" si="18"/>
        <v>7828.469995084</v>
      </c>
      <c r="R64" s="277"/>
      <c r="S64" s="262">
        <f ca="1" t="shared" si="19"/>
        <v>3648.229995084</v>
      </c>
      <c r="T64" s="257">
        <f ca="1" t="shared" si="20"/>
        <v>-3888.880004916</v>
      </c>
      <c r="U64" s="276" t="s">
        <v>45</v>
      </c>
    </row>
    <row r="65" s="137" customFormat="1" customHeight="1" spans="1:21">
      <c r="A65" s="246">
        <f>工程量核对表!A46</f>
        <v>8</v>
      </c>
      <c r="B65" s="247" t="str">
        <f>工程量核对表!B46</f>
        <v>M10砂浆抹面</v>
      </c>
      <c r="C65" s="178" t="str">
        <f>工程量核对表!C46</f>
        <v>m2</v>
      </c>
      <c r="D65" s="241">
        <v>224.51</v>
      </c>
      <c r="E65" s="241">
        <v>20.51</v>
      </c>
      <c r="F65" s="241"/>
      <c r="G65" s="241">
        <v>4604.7</v>
      </c>
      <c r="H65" s="241"/>
      <c r="I65" s="241">
        <v>187.56</v>
      </c>
      <c r="J65" s="256">
        <f t="shared" si="17"/>
        <v>20.51</v>
      </c>
      <c r="K65" s="256"/>
      <c r="L65" s="241">
        <v>3846.86</v>
      </c>
      <c r="M65" s="257"/>
      <c r="N65" s="257">
        <f ca="1">工程量核对表!F46</f>
        <v>62.964464</v>
      </c>
      <c r="O65" s="241">
        <v>18.1</v>
      </c>
      <c r="P65" s="241"/>
      <c r="Q65" s="241">
        <f ca="1" t="shared" si="18"/>
        <v>1139.6567984</v>
      </c>
      <c r="R65" s="277"/>
      <c r="S65" s="262">
        <f ca="1" t="shared" si="19"/>
        <v>-3465.0432016</v>
      </c>
      <c r="T65" s="257">
        <f ca="1" t="shared" si="20"/>
        <v>-2707.2032016</v>
      </c>
      <c r="U65" s="276" t="s">
        <v>45</v>
      </c>
    </row>
    <row r="66" s="137" customFormat="1" customHeight="1" spans="1:21">
      <c r="A66" s="246">
        <f>工程量核对表!A47</f>
        <v>9</v>
      </c>
      <c r="B66" s="247" t="str">
        <f>工程量核对表!B47</f>
        <v>池壁贴瓷砖</v>
      </c>
      <c r="C66" s="178" t="str">
        <f>工程量核对表!C47</f>
        <v>m2</v>
      </c>
      <c r="D66" s="241">
        <v>14.24</v>
      </c>
      <c r="E66" s="241">
        <v>95.34</v>
      </c>
      <c r="F66" s="241"/>
      <c r="G66" s="241">
        <v>1357.64</v>
      </c>
      <c r="H66" s="241"/>
      <c r="I66" s="241">
        <v>15.98</v>
      </c>
      <c r="J66" s="256">
        <f t="shared" si="17"/>
        <v>95.34</v>
      </c>
      <c r="K66" s="256"/>
      <c r="L66" s="241">
        <v>1523.53</v>
      </c>
      <c r="M66" s="257"/>
      <c r="N66" s="257">
        <f ca="1">工程量核对表!F47</f>
        <v>5.0868</v>
      </c>
      <c r="O66" s="241">
        <v>92.92</v>
      </c>
      <c r="P66" s="241"/>
      <c r="Q66" s="241">
        <f ca="1" t="shared" si="18"/>
        <v>472.665456</v>
      </c>
      <c r="R66" s="277"/>
      <c r="S66" s="262">
        <f ca="1" t="shared" si="19"/>
        <v>-884.974544</v>
      </c>
      <c r="T66" s="257">
        <f ca="1" t="shared" si="20"/>
        <v>-1050.864544</v>
      </c>
      <c r="U66" s="276" t="s">
        <v>45</v>
      </c>
    </row>
    <row r="67" s="137" customFormat="1" customHeight="1" spans="1:21">
      <c r="A67" s="246">
        <f>工程量核对表!A48</f>
        <v>10</v>
      </c>
      <c r="B67" s="247" t="str">
        <f>工程量核对表!B48</f>
        <v>M7.5浆砌页岩砖</v>
      </c>
      <c r="C67" s="178" t="str">
        <f>工程量核对表!C48</f>
        <v>m3</v>
      </c>
      <c r="D67" s="241">
        <v>16.85</v>
      </c>
      <c r="E67" s="241">
        <v>637.15</v>
      </c>
      <c r="F67" s="241"/>
      <c r="G67" s="241">
        <v>10735.98</v>
      </c>
      <c r="H67" s="241"/>
      <c r="I67" s="241">
        <v>20.06</v>
      </c>
      <c r="J67" s="256">
        <f t="shared" si="17"/>
        <v>637.15</v>
      </c>
      <c r="K67" s="256"/>
      <c r="L67" s="241">
        <v>12781.23</v>
      </c>
      <c r="M67" s="257"/>
      <c r="N67" s="257">
        <f ca="1">工程量核对表!F48</f>
        <v>13.76032625</v>
      </c>
      <c r="O67" s="241">
        <v>577.74</v>
      </c>
      <c r="P67" s="241"/>
      <c r="Q67" s="241">
        <f ca="1" t="shared" si="18"/>
        <v>7949.890887675</v>
      </c>
      <c r="R67" s="277"/>
      <c r="S67" s="262">
        <f ca="1" t="shared" si="19"/>
        <v>-2786.089112325</v>
      </c>
      <c r="T67" s="257">
        <f ca="1" t="shared" si="20"/>
        <v>-4831.339112325</v>
      </c>
      <c r="U67" s="276" t="s">
        <v>45</v>
      </c>
    </row>
    <row r="68" s="137" customFormat="1" customHeight="1" spans="1:21">
      <c r="A68" s="246">
        <f>工程量核对表!A49</f>
        <v>11</v>
      </c>
      <c r="B68" s="247" t="str">
        <f>工程量核对表!B49</f>
        <v>铁梯制安</v>
      </c>
      <c r="C68" s="178" t="str">
        <f>工程量核对表!C49</f>
        <v>t</v>
      </c>
      <c r="D68" s="288">
        <v>0.01</v>
      </c>
      <c r="E68" s="241">
        <v>6533.67</v>
      </c>
      <c r="F68" s="241"/>
      <c r="G68" s="241">
        <v>65.34</v>
      </c>
      <c r="H68" s="241"/>
      <c r="I68" s="241">
        <v>0.01</v>
      </c>
      <c r="J68" s="256">
        <f t="shared" si="17"/>
        <v>6533.67</v>
      </c>
      <c r="K68" s="256"/>
      <c r="L68" s="241">
        <v>65.34</v>
      </c>
      <c r="M68" s="257"/>
      <c r="N68" s="257">
        <f ca="1">工程量核对表!F49</f>
        <v>0.01</v>
      </c>
      <c r="O68" s="241">
        <v>6616.4</v>
      </c>
      <c r="P68" s="241"/>
      <c r="Q68" s="241">
        <f ca="1" t="shared" si="18"/>
        <v>66.164</v>
      </c>
      <c r="R68" s="277"/>
      <c r="S68" s="262">
        <f ca="1" t="shared" si="19"/>
        <v>0.823999999999998</v>
      </c>
      <c r="T68" s="257">
        <f ca="1" t="shared" si="20"/>
        <v>0.823999999999998</v>
      </c>
      <c r="U68" s="276" t="s">
        <v>45</v>
      </c>
    </row>
    <row r="69" s="137" customFormat="1" customHeight="1" spans="1:21">
      <c r="A69" s="246">
        <f>工程量核对表!A50</f>
        <v>12</v>
      </c>
      <c r="B69" s="247" t="str">
        <f>工程量核对表!B50</f>
        <v>通气、进人孔</v>
      </c>
      <c r="C69" s="178" t="str">
        <f>工程量核对表!C50</f>
        <v>套</v>
      </c>
      <c r="D69" s="241">
        <v>1</v>
      </c>
      <c r="E69" s="241">
        <v>450</v>
      </c>
      <c r="F69" s="241"/>
      <c r="G69" s="241">
        <v>450</v>
      </c>
      <c r="H69" s="241"/>
      <c r="I69" s="241">
        <v>1</v>
      </c>
      <c r="J69" s="256">
        <f t="shared" si="17"/>
        <v>450</v>
      </c>
      <c r="K69" s="256"/>
      <c r="L69" s="241">
        <v>450</v>
      </c>
      <c r="M69" s="257"/>
      <c r="N69" s="257">
        <f ca="1">工程量核对表!F50</f>
        <v>1</v>
      </c>
      <c r="O69" s="249">
        <f>E69/1.11*1.0319</f>
        <v>418.337837837838</v>
      </c>
      <c r="P69" s="241"/>
      <c r="Q69" s="241">
        <f ca="1" t="shared" si="18"/>
        <v>418.337837837838</v>
      </c>
      <c r="R69" s="277"/>
      <c r="S69" s="262">
        <f ca="1" t="shared" si="19"/>
        <v>-31.662162162162</v>
      </c>
      <c r="T69" s="257">
        <f ca="1" t="shared" si="20"/>
        <v>-31.662162162162</v>
      </c>
      <c r="U69" s="276" t="s">
        <v>45</v>
      </c>
    </row>
    <row r="70" s="137" customFormat="1" customHeight="1" spans="1:22">
      <c r="A70" s="246">
        <f>工程量核对表!A51</f>
        <v>13</v>
      </c>
      <c r="B70" s="247" t="str">
        <f>工程量核对表!B51</f>
        <v>人力二次转运材料（500元/t/km，运距0.2km）</v>
      </c>
      <c r="C70" s="178" t="str">
        <f>工程量核对表!C51</f>
        <v>t</v>
      </c>
      <c r="D70" s="241">
        <v>74</v>
      </c>
      <c r="E70" s="241">
        <v>100</v>
      </c>
      <c r="F70" s="241"/>
      <c r="G70" s="241">
        <v>7400</v>
      </c>
      <c r="H70" s="241"/>
      <c r="I70" s="241">
        <v>92.67</v>
      </c>
      <c r="J70" s="256">
        <f t="shared" si="17"/>
        <v>100</v>
      </c>
      <c r="K70" s="256"/>
      <c r="L70" s="241">
        <v>9267</v>
      </c>
      <c r="M70" s="257"/>
      <c r="N70" s="257"/>
      <c r="O70" s="241"/>
      <c r="P70" s="241"/>
      <c r="Q70" s="241">
        <f ca="1">Q71</f>
        <v>1740.36826617561</v>
      </c>
      <c r="R70" s="277"/>
      <c r="S70" s="262">
        <f ca="1" t="shared" si="19"/>
        <v>-5659.63173382439</v>
      </c>
      <c r="T70" s="257">
        <f ca="1" t="shared" si="20"/>
        <v>-7526.63173382439</v>
      </c>
      <c r="U70" s="203"/>
      <c r="V70" s="198">
        <f ca="1">T70</f>
        <v>-7526.63173382439</v>
      </c>
    </row>
    <row r="71" s="214" customFormat="1" customHeight="1" spans="1:22">
      <c r="A71" s="238"/>
      <c r="B71" s="239" t="s">
        <v>55</v>
      </c>
      <c r="C71" s="240"/>
      <c r="D71" s="249"/>
      <c r="E71" s="249"/>
      <c r="F71" s="249"/>
      <c r="G71" s="249"/>
      <c r="H71" s="249"/>
      <c r="I71" s="249"/>
      <c r="J71" s="262"/>
      <c r="K71" s="262"/>
      <c r="L71" s="249"/>
      <c r="M71" s="257"/>
      <c r="N71" s="257"/>
      <c r="O71" s="249"/>
      <c r="P71" s="249"/>
      <c r="Q71" s="249">
        <f ca="1">SUM(Q72:Q76)</f>
        <v>1740.36826617561</v>
      </c>
      <c r="R71" s="277"/>
      <c r="S71" s="262"/>
      <c r="T71" s="257"/>
      <c r="U71" s="284" t="s">
        <v>56</v>
      </c>
      <c r="V71" s="286">
        <f>T71</f>
        <v>0</v>
      </c>
    </row>
    <row r="72" s="214" customFormat="1" customHeight="1" spans="1:21">
      <c r="A72" s="238"/>
      <c r="B72" s="239" t="s">
        <v>57</v>
      </c>
      <c r="C72" s="240" t="s">
        <v>58</v>
      </c>
      <c r="D72" s="249"/>
      <c r="E72" s="249"/>
      <c r="F72" s="249"/>
      <c r="G72" s="249"/>
      <c r="H72" s="249"/>
      <c r="I72" s="249"/>
      <c r="J72" s="262"/>
      <c r="K72" s="262"/>
      <c r="L72" s="249"/>
      <c r="M72" s="257"/>
      <c r="N72" s="257">
        <f ca="1">二转材料统计!Q14</f>
        <v>4.95313060973433</v>
      </c>
      <c r="O72" s="249">
        <v>35.77</v>
      </c>
      <c r="P72" s="249"/>
      <c r="Q72" s="249">
        <f ca="1">N72*O72</f>
        <v>177.173481910197</v>
      </c>
      <c r="R72" s="277"/>
      <c r="S72" s="262"/>
      <c r="T72" s="257"/>
      <c r="U72" s="284"/>
    </row>
    <row r="73" s="214" customFormat="1" customHeight="1" spans="1:21">
      <c r="A73" s="238"/>
      <c r="B73" s="239" t="s">
        <v>59</v>
      </c>
      <c r="C73" s="240" t="s">
        <v>60</v>
      </c>
      <c r="D73" s="249"/>
      <c r="E73" s="249"/>
      <c r="F73" s="249"/>
      <c r="G73" s="249"/>
      <c r="H73" s="249"/>
      <c r="I73" s="249"/>
      <c r="J73" s="262"/>
      <c r="K73" s="262"/>
      <c r="L73" s="249"/>
      <c r="M73" s="257"/>
      <c r="N73" s="257">
        <f ca="1">二转材料统计!R14</f>
        <v>9.64947458882</v>
      </c>
      <c r="O73" s="249">
        <v>46.5</v>
      </c>
      <c r="P73" s="249"/>
      <c r="Q73" s="249">
        <f ca="1">N73*O73</f>
        <v>448.70056838013</v>
      </c>
      <c r="R73" s="277"/>
      <c r="S73" s="262"/>
      <c r="T73" s="257"/>
      <c r="U73" s="284"/>
    </row>
    <row r="74" s="214" customFormat="1" customHeight="1" spans="1:21">
      <c r="A74" s="238"/>
      <c r="B74" s="239" t="s">
        <v>61</v>
      </c>
      <c r="C74" s="240" t="s">
        <v>60</v>
      </c>
      <c r="D74" s="249"/>
      <c r="E74" s="249"/>
      <c r="F74" s="249"/>
      <c r="G74" s="249"/>
      <c r="H74" s="249"/>
      <c r="I74" s="249"/>
      <c r="J74" s="262"/>
      <c r="K74" s="262"/>
      <c r="L74" s="249"/>
      <c r="M74" s="257"/>
      <c r="N74" s="257">
        <f ca="1">二转材料统计!S14</f>
        <v>8.14686569648</v>
      </c>
      <c r="O74" s="249">
        <v>53.64</v>
      </c>
      <c r="P74" s="249"/>
      <c r="Q74" s="249">
        <f ca="1">N74*O74</f>
        <v>436.997875959187</v>
      </c>
      <c r="R74" s="277"/>
      <c r="S74" s="262"/>
      <c r="T74" s="257"/>
      <c r="U74" s="284"/>
    </row>
    <row r="75" s="214" customFormat="1" customHeight="1" spans="1:21">
      <c r="A75" s="238"/>
      <c r="B75" s="239" t="s">
        <v>62</v>
      </c>
      <c r="C75" s="240" t="s">
        <v>63</v>
      </c>
      <c r="D75" s="249"/>
      <c r="E75" s="249"/>
      <c r="F75" s="249"/>
      <c r="G75" s="249"/>
      <c r="H75" s="249"/>
      <c r="I75" s="249"/>
      <c r="J75" s="262"/>
      <c r="K75" s="262"/>
      <c r="L75" s="249"/>
      <c r="M75" s="257"/>
      <c r="N75" s="257">
        <f ca="1">二转材料统计!T14</f>
        <v>7.3480142175</v>
      </c>
      <c r="O75" s="249">
        <f>O73*1.854</f>
        <v>86.211</v>
      </c>
      <c r="P75" s="249"/>
      <c r="Q75" s="249">
        <f ca="1">N75*O75</f>
        <v>633.479653704893</v>
      </c>
      <c r="R75" s="277"/>
      <c r="S75" s="262"/>
      <c r="T75" s="257"/>
      <c r="U75" s="284"/>
    </row>
    <row r="76" s="214" customFormat="1" customHeight="1" spans="1:21">
      <c r="A76" s="238"/>
      <c r="B76" s="239" t="s">
        <v>64</v>
      </c>
      <c r="C76" s="240" t="s">
        <v>58</v>
      </c>
      <c r="D76" s="249"/>
      <c r="E76" s="249"/>
      <c r="F76" s="249"/>
      <c r="G76" s="249"/>
      <c r="H76" s="249"/>
      <c r="I76" s="249"/>
      <c r="J76" s="262"/>
      <c r="K76" s="262"/>
      <c r="L76" s="249"/>
      <c r="M76" s="257"/>
      <c r="N76" s="261">
        <f ca="1">N64+N68</f>
        <v>1.23054756</v>
      </c>
      <c r="O76" s="249">
        <v>35.77</v>
      </c>
      <c r="P76" s="249"/>
      <c r="Q76" s="249">
        <f ca="1">N76*O76</f>
        <v>44.0166862212</v>
      </c>
      <c r="R76" s="277"/>
      <c r="S76" s="262"/>
      <c r="T76" s="257"/>
      <c r="U76" s="284"/>
    </row>
    <row r="77" s="137" customFormat="1" customHeight="1" spans="1:21">
      <c r="A77" s="242" t="str">
        <f>工程量核对表!A52</f>
        <v>（四）</v>
      </c>
      <c r="B77" s="243" t="str">
        <f>工程量核对表!B52</f>
        <v>硬化带</v>
      </c>
      <c r="C77" s="244" t="str">
        <f>工程量核对表!C52</f>
        <v>m</v>
      </c>
      <c r="D77" s="245">
        <v>50</v>
      </c>
      <c r="E77" s="245">
        <v>110.25</v>
      </c>
      <c r="F77" s="245"/>
      <c r="G77" s="245">
        <v>5512.46</v>
      </c>
      <c r="H77" s="245"/>
      <c r="I77" s="245"/>
      <c r="J77" s="259"/>
      <c r="K77" s="259"/>
      <c r="L77" s="245">
        <v>10328.04</v>
      </c>
      <c r="M77" s="260"/>
      <c r="N77" s="260"/>
      <c r="O77" s="245"/>
      <c r="P77" s="245"/>
      <c r="Q77" s="245">
        <f ca="1">SUM(Q78:Q80)</f>
        <v>7879.56506473501</v>
      </c>
      <c r="R77" s="281"/>
      <c r="S77" s="245">
        <f ca="1">SUM(S78:S80)</f>
        <v>2367.10506473501</v>
      </c>
      <c r="T77" s="245">
        <f ca="1">SUM(T78:T80)</f>
        <v>-2448.47493526499</v>
      </c>
      <c r="U77" s="287"/>
    </row>
    <row r="78" s="137" customFormat="1" customHeight="1" spans="1:21">
      <c r="A78" s="246">
        <f>工程量核对表!A53</f>
        <v>1</v>
      </c>
      <c r="B78" s="247" t="str">
        <f>工程量核对表!B53</f>
        <v>5cm厚砂石垫层</v>
      </c>
      <c r="C78" s="178" t="str">
        <f>工程量核对表!C53</f>
        <v>m3</v>
      </c>
      <c r="D78" s="241">
        <v>2</v>
      </c>
      <c r="E78" s="241">
        <v>191.39</v>
      </c>
      <c r="F78" s="241"/>
      <c r="G78" s="241">
        <v>382.78</v>
      </c>
      <c r="H78" s="241"/>
      <c r="I78" s="241">
        <v>3.87</v>
      </c>
      <c r="J78" s="256">
        <f t="shared" ref="J78:J80" si="21">E78</f>
        <v>191.39</v>
      </c>
      <c r="K78" s="256"/>
      <c r="L78" s="241">
        <v>740.68</v>
      </c>
      <c r="M78" s="257"/>
      <c r="N78" s="257">
        <f ca="1">工程量核对表!F53</f>
        <v>4.0169836</v>
      </c>
      <c r="O78" s="241">
        <v>174.87</v>
      </c>
      <c r="P78" s="241"/>
      <c r="Q78" s="241">
        <f ca="1">N78*O78</f>
        <v>702.449922132</v>
      </c>
      <c r="R78" s="277"/>
      <c r="S78" s="262">
        <f ca="1">Q78-G78</f>
        <v>319.669922132</v>
      </c>
      <c r="T78" s="257">
        <f ca="1">Q78-L78</f>
        <v>-38.230077868</v>
      </c>
      <c r="U78" s="276" t="s">
        <v>45</v>
      </c>
    </row>
    <row r="79" s="137" customFormat="1" customHeight="1" spans="1:21">
      <c r="A79" s="246">
        <f>工程量核对表!A54</f>
        <v>2</v>
      </c>
      <c r="B79" s="247" t="str">
        <f>工程量核对表!B54</f>
        <v>10cm厚C20砼硬化带</v>
      </c>
      <c r="C79" s="178" t="str">
        <f>工程量核对表!C54</f>
        <v>m3</v>
      </c>
      <c r="D79" s="241">
        <v>4</v>
      </c>
      <c r="E79" s="241">
        <v>607.42</v>
      </c>
      <c r="F79" s="241"/>
      <c r="G79" s="241">
        <v>2429.68</v>
      </c>
      <c r="H79" s="241"/>
      <c r="I79" s="241">
        <v>7.73</v>
      </c>
      <c r="J79" s="256">
        <f t="shared" si="21"/>
        <v>607.42</v>
      </c>
      <c r="K79" s="256"/>
      <c r="L79" s="241">
        <v>4695.36</v>
      </c>
      <c r="M79" s="257"/>
      <c r="N79" s="257">
        <f ca="1">工程量核对表!F54</f>
        <v>12.0509508</v>
      </c>
      <c r="O79" s="241">
        <v>537.49</v>
      </c>
      <c r="P79" s="241"/>
      <c r="Q79" s="241">
        <f ca="1">N79*O79</f>
        <v>6477.265545492</v>
      </c>
      <c r="R79" s="277"/>
      <c r="S79" s="262">
        <f ca="1">Q79-G79</f>
        <v>4047.585545492</v>
      </c>
      <c r="T79" s="257">
        <f ca="1">Q79-L79</f>
        <v>1781.905545492</v>
      </c>
      <c r="U79" s="276" t="s">
        <v>45</v>
      </c>
    </row>
    <row r="80" s="137" customFormat="1" customHeight="1" spans="1:22">
      <c r="A80" s="246">
        <f>工程量核对表!A55</f>
        <v>3</v>
      </c>
      <c r="B80" s="247" t="str">
        <f>工程量核对表!B55</f>
        <v>人力二次转运材料（500元/t/km，运距0.4km）</v>
      </c>
      <c r="C80" s="178" t="str">
        <f>工程量核对表!C55</f>
        <v>t</v>
      </c>
      <c r="D80" s="241">
        <v>13.5</v>
      </c>
      <c r="E80" s="241">
        <v>200</v>
      </c>
      <c r="F80" s="241"/>
      <c r="G80" s="241">
        <v>2700</v>
      </c>
      <c r="H80" s="241"/>
      <c r="I80" s="241">
        <v>24.46</v>
      </c>
      <c r="J80" s="256">
        <f t="shared" si="21"/>
        <v>200</v>
      </c>
      <c r="K80" s="256"/>
      <c r="L80" s="241">
        <v>4892</v>
      </c>
      <c r="M80" s="257"/>
      <c r="N80" s="257"/>
      <c r="O80" s="241"/>
      <c r="P80" s="241"/>
      <c r="Q80" s="241">
        <f ca="1">Q81+Q85</f>
        <v>699.849597111009</v>
      </c>
      <c r="R80" s="277"/>
      <c r="S80" s="262">
        <f ca="1">Q80-G80</f>
        <v>-2000.15040288899</v>
      </c>
      <c r="T80" s="257">
        <f ca="1">Q80-L80</f>
        <v>-4192.15040288899</v>
      </c>
      <c r="U80" s="203"/>
      <c r="V80" s="198">
        <f ca="1">T80</f>
        <v>-4192.15040288899</v>
      </c>
    </row>
    <row r="81" s="137" customFormat="1" customHeight="1" spans="1:21">
      <c r="A81" s="246"/>
      <c r="B81" s="247" t="s">
        <v>55</v>
      </c>
      <c r="C81" s="178"/>
      <c r="D81" s="241"/>
      <c r="E81" s="241"/>
      <c r="F81" s="241"/>
      <c r="G81" s="241"/>
      <c r="H81" s="241"/>
      <c r="I81" s="241"/>
      <c r="J81" s="256"/>
      <c r="K81" s="256"/>
      <c r="L81" s="241"/>
      <c r="M81" s="257"/>
      <c r="N81" s="257"/>
      <c r="O81" s="241"/>
      <c r="P81" s="241"/>
      <c r="Q81" s="241">
        <f ca="1">SUM(Q82:Q84)</f>
        <v>245.743754870774</v>
      </c>
      <c r="R81" s="277"/>
      <c r="S81" s="262"/>
      <c r="T81" s="257"/>
      <c r="U81" s="203" t="s">
        <v>56</v>
      </c>
    </row>
    <row r="82" s="137" customFormat="1" customHeight="1" spans="1:21">
      <c r="A82" s="246"/>
      <c r="B82" s="247" t="s">
        <v>57</v>
      </c>
      <c r="C82" s="178" t="s">
        <v>58</v>
      </c>
      <c r="D82" s="241"/>
      <c r="E82" s="241"/>
      <c r="F82" s="241"/>
      <c r="G82" s="241"/>
      <c r="H82" s="241"/>
      <c r="I82" s="241"/>
      <c r="J82" s="256"/>
      <c r="K82" s="256"/>
      <c r="L82" s="241"/>
      <c r="M82" s="257"/>
      <c r="N82" s="257">
        <f ca="1">二转材料统计!W14</f>
        <v>0.4220911293072</v>
      </c>
      <c r="O82" s="241">
        <v>35.77</v>
      </c>
      <c r="P82" s="241"/>
      <c r="Q82" s="241">
        <f ca="1" t="shared" ref="Q82:Q88" si="22">N82*O82</f>
        <v>15.0981996953185</v>
      </c>
      <c r="R82" s="277"/>
      <c r="S82" s="262"/>
      <c r="T82" s="257"/>
      <c r="U82" s="203"/>
    </row>
    <row r="83" s="137" customFormat="1" customHeight="1" spans="1:21">
      <c r="A83" s="246"/>
      <c r="B83" s="247" t="s">
        <v>59</v>
      </c>
      <c r="C83" s="178" t="s">
        <v>60</v>
      </c>
      <c r="D83" s="241"/>
      <c r="E83" s="241"/>
      <c r="F83" s="241"/>
      <c r="G83" s="241"/>
      <c r="H83" s="241"/>
      <c r="I83" s="241"/>
      <c r="J83" s="256"/>
      <c r="K83" s="256"/>
      <c r="L83" s="241"/>
      <c r="M83" s="257"/>
      <c r="N83" s="257">
        <f ca="1">二转材料统计!X14</f>
        <v>1.2084541296</v>
      </c>
      <c r="O83" s="241">
        <v>46.5</v>
      </c>
      <c r="P83" s="241"/>
      <c r="Q83" s="241">
        <f ca="1" t="shared" si="22"/>
        <v>56.1931170264</v>
      </c>
      <c r="R83" s="277"/>
      <c r="S83" s="262"/>
      <c r="T83" s="257"/>
      <c r="U83" s="203"/>
    </row>
    <row r="84" s="137" customFormat="1" customHeight="1" spans="1:21">
      <c r="A84" s="246"/>
      <c r="B84" s="247" t="s">
        <v>61</v>
      </c>
      <c r="C84" s="178" t="s">
        <v>60</v>
      </c>
      <c r="D84" s="241"/>
      <c r="E84" s="241"/>
      <c r="F84" s="241"/>
      <c r="G84" s="241"/>
      <c r="H84" s="241"/>
      <c r="I84" s="241"/>
      <c r="J84" s="256"/>
      <c r="K84" s="256"/>
      <c r="L84" s="241"/>
      <c r="M84" s="257"/>
      <c r="N84" s="257">
        <f ca="1">二转材料统计!Y14</f>
        <v>3.2522825904</v>
      </c>
      <c r="O84" s="241">
        <v>53.64</v>
      </c>
      <c r="P84" s="241"/>
      <c r="Q84" s="241">
        <f ca="1" t="shared" si="22"/>
        <v>174.452438149056</v>
      </c>
      <c r="R84" s="277"/>
      <c r="S84" s="262"/>
      <c r="T84" s="257"/>
      <c r="U84" s="203"/>
    </row>
    <row r="85" s="137" customFormat="1" customHeight="1" spans="1:21">
      <c r="A85" s="246"/>
      <c r="B85" s="289" t="s">
        <v>67</v>
      </c>
      <c r="C85" s="178"/>
      <c r="D85" s="241"/>
      <c r="E85" s="241"/>
      <c r="F85" s="241"/>
      <c r="G85" s="241"/>
      <c r="H85" s="241"/>
      <c r="I85" s="241"/>
      <c r="J85" s="256"/>
      <c r="K85" s="256"/>
      <c r="L85" s="241"/>
      <c r="M85" s="257"/>
      <c r="N85" s="257"/>
      <c r="O85" s="241"/>
      <c r="P85" s="241"/>
      <c r="Q85" s="241">
        <f ca="1">SUM(Q86:Q88)</f>
        <v>454.105842240235</v>
      </c>
      <c r="R85" s="277"/>
      <c r="S85" s="262"/>
      <c r="T85" s="257"/>
      <c r="U85" s="203" t="s">
        <v>66</v>
      </c>
    </row>
    <row r="86" s="137" customFormat="1" customHeight="1" spans="1:21">
      <c r="A86" s="246"/>
      <c r="B86" s="247" t="s">
        <v>57</v>
      </c>
      <c r="C86" s="178" t="s">
        <v>58</v>
      </c>
      <c r="D86" s="241"/>
      <c r="E86" s="241"/>
      <c r="F86" s="241"/>
      <c r="G86" s="241"/>
      <c r="H86" s="241"/>
      <c r="I86" s="241"/>
      <c r="J86" s="256"/>
      <c r="K86" s="256"/>
      <c r="L86" s="241"/>
      <c r="M86" s="257"/>
      <c r="N86" s="257">
        <f ca="1">二转材料统计!W29</f>
        <v>0.2050765031772</v>
      </c>
      <c r="O86" s="241">
        <v>136.02</v>
      </c>
      <c r="P86" s="241"/>
      <c r="Q86" s="241">
        <f ca="1" t="shared" si="22"/>
        <v>27.8945059621627</v>
      </c>
      <c r="R86" s="277"/>
      <c r="S86" s="262"/>
      <c r="T86" s="257"/>
      <c r="U86" s="203"/>
    </row>
    <row r="87" s="137" customFormat="1" customHeight="1" spans="1:21">
      <c r="A87" s="246"/>
      <c r="B87" s="247" t="s">
        <v>59</v>
      </c>
      <c r="C87" s="178" t="s">
        <v>60</v>
      </c>
      <c r="D87" s="241"/>
      <c r="E87" s="241"/>
      <c r="F87" s="241"/>
      <c r="G87" s="241"/>
      <c r="H87" s="241"/>
      <c r="I87" s="241"/>
      <c r="J87" s="256"/>
      <c r="K87" s="256"/>
      <c r="L87" s="241"/>
      <c r="M87" s="257"/>
      <c r="N87" s="257">
        <f ca="1">二转材料统计!X29</f>
        <v>0.5871375396</v>
      </c>
      <c r="O87" s="241">
        <v>176.84</v>
      </c>
      <c r="P87" s="241"/>
      <c r="Q87" s="241">
        <f ca="1" t="shared" si="22"/>
        <v>103.829402502864</v>
      </c>
      <c r="R87" s="277"/>
      <c r="S87" s="262"/>
      <c r="T87" s="257"/>
      <c r="U87" s="203"/>
    </row>
    <row r="88" s="137" customFormat="1" customHeight="1" spans="1:21">
      <c r="A88" s="246"/>
      <c r="B88" s="247" t="s">
        <v>61</v>
      </c>
      <c r="C88" s="178" t="s">
        <v>60</v>
      </c>
      <c r="D88" s="241"/>
      <c r="E88" s="241"/>
      <c r="F88" s="241"/>
      <c r="G88" s="241"/>
      <c r="H88" s="241"/>
      <c r="I88" s="241"/>
      <c r="J88" s="256"/>
      <c r="K88" s="256"/>
      <c r="L88" s="241"/>
      <c r="M88" s="257"/>
      <c r="N88" s="257">
        <f ca="1">二转材料统计!Y29</f>
        <v>1.5801486804</v>
      </c>
      <c r="O88" s="241">
        <v>204.02</v>
      </c>
      <c r="P88" s="241"/>
      <c r="Q88" s="241">
        <f ca="1" t="shared" si="22"/>
        <v>322.381933775208</v>
      </c>
      <c r="R88" s="277"/>
      <c r="S88" s="262"/>
      <c r="T88" s="257"/>
      <c r="U88" s="203"/>
    </row>
    <row r="89" s="137" customFormat="1" customHeight="1" spans="1:21">
      <c r="A89" s="242" t="str">
        <f>工程量核对表!A56</f>
        <v>（五）</v>
      </c>
      <c r="B89" s="243" t="str">
        <f>工程量核对表!B56</f>
        <v>绿化种草</v>
      </c>
      <c r="C89" s="244" t="str">
        <f>工程量核对表!C56</f>
        <v>m2</v>
      </c>
      <c r="D89" s="245">
        <v>80</v>
      </c>
      <c r="E89" s="245">
        <v>45</v>
      </c>
      <c r="F89" s="245"/>
      <c r="G89" s="245">
        <v>3600</v>
      </c>
      <c r="H89" s="245"/>
      <c r="I89" s="245"/>
      <c r="J89" s="259"/>
      <c r="K89" s="259"/>
      <c r="L89" s="245">
        <v>3221.1</v>
      </c>
      <c r="M89" s="260"/>
      <c r="N89" s="260"/>
      <c r="O89" s="245"/>
      <c r="P89" s="245"/>
      <c r="Q89" s="245">
        <f ca="1" t="shared" ref="Q89:T89" si="23">Q90</f>
        <v>2180.38651624865</v>
      </c>
      <c r="R89" s="281"/>
      <c r="S89" s="245">
        <f ca="1" t="shared" si="23"/>
        <v>-1419.61348375135</v>
      </c>
      <c r="T89" s="245">
        <f ca="1" t="shared" si="23"/>
        <v>-1040.71348375135</v>
      </c>
      <c r="U89" s="285"/>
    </row>
    <row r="90" s="137" customFormat="1" customHeight="1" spans="1:21">
      <c r="A90" s="246">
        <f>工程量核对表!A57</f>
        <v>1</v>
      </c>
      <c r="B90" s="247" t="str">
        <f>工程量核对表!B57</f>
        <v>绿化种草</v>
      </c>
      <c r="C90" s="178" t="str">
        <f>工程量核对表!C57</f>
        <v>m2</v>
      </c>
      <c r="D90" s="241">
        <v>80</v>
      </c>
      <c r="E90" s="241">
        <v>45</v>
      </c>
      <c r="F90" s="241"/>
      <c r="G90" s="241">
        <v>3600</v>
      </c>
      <c r="H90" s="241"/>
      <c r="I90" s="241">
        <v>71.58</v>
      </c>
      <c r="J90" s="256">
        <f>E90</f>
        <v>45</v>
      </c>
      <c r="K90" s="256"/>
      <c r="L90" s="241">
        <v>3221.1</v>
      </c>
      <c r="M90" s="257"/>
      <c r="N90" s="257">
        <f ca="1">工程量核对表!F57</f>
        <v>52.120232</v>
      </c>
      <c r="O90" s="249">
        <f>E90/1.11*1.0319</f>
        <v>41.8337837837838</v>
      </c>
      <c r="P90" s="241"/>
      <c r="Q90" s="241">
        <f ca="1">N90*O90</f>
        <v>2180.38651624865</v>
      </c>
      <c r="R90" s="277"/>
      <c r="S90" s="262">
        <f ca="1">Q90-G90</f>
        <v>-1419.61348375135</v>
      </c>
      <c r="T90" s="257">
        <f ca="1">Q90-L90</f>
        <v>-1040.71348375135</v>
      </c>
      <c r="U90" s="276" t="s">
        <v>45</v>
      </c>
    </row>
    <row r="91" s="137" customFormat="1" customHeight="1" spans="1:21">
      <c r="A91" s="242" t="str">
        <f>工程量核对表!A58</f>
        <v>（六）</v>
      </c>
      <c r="B91" s="243" t="str">
        <f>工程量核对表!B58</f>
        <v>围墙</v>
      </c>
      <c r="C91" s="244" t="str">
        <f>工程量核对表!C58</f>
        <v>m</v>
      </c>
      <c r="D91" s="245">
        <v>60</v>
      </c>
      <c r="E91" s="245">
        <v>889.23</v>
      </c>
      <c r="F91" s="245"/>
      <c r="G91" s="245">
        <v>53353.94</v>
      </c>
      <c r="H91" s="245"/>
      <c r="I91" s="245"/>
      <c r="J91" s="259"/>
      <c r="K91" s="259"/>
      <c r="L91" s="245">
        <v>34720.01</v>
      </c>
      <c r="M91" s="260"/>
      <c r="N91" s="260"/>
      <c r="O91" s="245"/>
      <c r="P91" s="245"/>
      <c r="Q91" s="245">
        <f ca="1">SUM(Q92:Q100,Q113)</f>
        <v>29825.8978873676</v>
      </c>
      <c r="R91" s="281"/>
      <c r="S91" s="245">
        <f ca="1">SUM(S92:S100,S113)</f>
        <v>-23528.0421126324</v>
      </c>
      <c r="T91" s="245">
        <f ca="1">SUM(T92:T100,T113)</f>
        <v>-4894.11211263239</v>
      </c>
      <c r="U91" s="287"/>
    </row>
    <row r="92" s="137" customFormat="1" customHeight="1" spans="1:21">
      <c r="A92" s="246">
        <f>工程量核对表!A59</f>
        <v>1</v>
      </c>
      <c r="B92" s="247" t="str">
        <f>工程量核对表!B59</f>
        <v>土方开挖</v>
      </c>
      <c r="C92" s="178" t="str">
        <f>工程量核对表!C59</f>
        <v>m3</v>
      </c>
      <c r="D92" s="241">
        <v>6</v>
      </c>
      <c r="E92" s="241">
        <v>19.7</v>
      </c>
      <c r="F92" s="241"/>
      <c r="G92" s="241">
        <v>118.2</v>
      </c>
      <c r="H92" s="241"/>
      <c r="I92" s="241"/>
      <c r="J92" s="256">
        <f>E92</f>
        <v>19.7</v>
      </c>
      <c r="K92" s="256"/>
      <c r="L92" s="241"/>
      <c r="M92" s="257"/>
      <c r="N92" s="257">
        <f ca="1">工程量核对表!F59</f>
        <v>0</v>
      </c>
      <c r="O92" s="241">
        <v>20.02</v>
      </c>
      <c r="P92" s="241"/>
      <c r="Q92" s="241">
        <f ca="1" t="shared" ref="Q89:Q104" si="24">N92*O92</f>
        <v>0</v>
      </c>
      <c r="R92" s="277"/>
      <c r="S92" s="262">
        <f ca="1">Q92-G92</f>
        <v>-118.2</v>
      </c>
      <c r="T92" s="257">
        <f ca="1">Q92-L92</f>
        <v>0</v>
      </c>
      <c r="U92" s="276" t="s">
        <v>45</v>
      </c>
    </row>
    <row r="93" s="137" customFormat="1" customHeight="1" spans="1:21">
      <c r="A93" s="246">
        <f>工程量核对表!A60</f>
        <v>2</v>
      </c>
      <c r="B93" s="247" t="str">
        <f>工程量核对表!B60</f>
        <v>石方开挖</v>
      </c>
      <c r="C93" s="178" t="str">
        <f>工程量核对表!C60</f>
        <v>m3</v>
      </c>
      <c r="D93" s="241">
        <v>6</v>
      </c>
      <c r="E93" s="241">
        <v>57.48</v>
      </c>
      <c r="F93" s="241"/>
      <c r="G93" s="241">
        <v>344.88</v>
      </c>
      <c r="H93" s="241"/>
      <c r="I93" s="241"/>
      <c r="J93" s="256">
        <f t="shared" ref="J93:J103" si="25">E93</f>
        <v>57.48</v>
      </c>
      <c r="K93" s="256"/>
      <c r="L93" s="241"/>
      <c r="M93" s="257"/>
      <c r="N93" s="257">
        <f ca="1">工程量核对表!F60</f>
        <v>0</v>
      </c>
      <c r="O93" s="241">
        <v>55.5</v>
      </c>
      <c r="P93" s="241"/>
      <c r="Q93" s="241">
        <f ca="1" t="shared" si="24"/>
        <v>0</v>
      </c>
      <c r="R93" s="277"/>
      <c r="S93" s="262">
        <f ca="1" t="shared" ref="S93:S103" si="26">Q93-G93</f>
        <v>-344.88</v>
      </c>
      <c r="T93" s="257">
        <f ca="1" t="shared" ref="T93:T103" si="27">Q93-L93</f>
        <v>0</v>
      </c>
      <c r="U93" s="276" t="s">
        <v>45</v>
      </c>
    </row>
    <row r="94" s="137" customFormat="1" customHeight="1" spans="1:21">
      <c r="A94" s="246">
        <f>工程量核对表!A61</f>
        <v>3</v>
      </c>
      <c r="B94" s="247" t="str">
        <f>工程量核对表!B61</f>
        <v>土方回填</v>
      </c>
      <c r="C94" s="178" t="str">
        <f>工程量核对表!C61</f>
        <v>m3</v>
      </c>
      <c r="D94" s="241">
        <v>3</v>
      </c>
      <c r="E94" s="241">
        <v>27.94</v>
      </c>
      <c r="F94" s="241"/>
      <c r="G94" s="241">
        <v>83.82</v>
      </c>
      <c r="H94" s="241"/>
      <c r="I94" s="241">
        <v>31</v>
      </c>
      <c r="J94" s="256">
        <f t="shared" si="25"/>
        <v>27.94</v>
      </c>
      <c r="K94" s="256"/>
      <c r="L94" s="241">
        <v>862.23</v>
      </c>
      <c r="M94" s="257"/>
      <c r="N94" s="257">
        <f ca="1">工程量核对表!F61</f>
        <v>30.6559828</v>
      </c>
      <c r="O94" s="241">
        <v>24.89</v>
      </c>
      <c r="P94" s="241"/>
      <c r="Q94" s="241">
        <f ca="1" t="shared" si="24"/>
        <v>763.027411892</v>
      </c>
      <c r="R94" s="277"/>
      <c r="S94" s="262">
        <f ca="1" t="shared" si="26"/>
        <v>679.207411892</v>
      </c>
      <c r="T94" s="257">
        <f ca="1" t="shared" si="27"/>
        <v>-99.2025881080002</v>
      </c>
      <c r="U94" s="276" t="s">
        <v>45</v>
      </c>
    </row>
    <row r="95" s="137" customFormat="1" customHeight="1" spans="1:21">
      <c r="A95" s="246">
        <f>工程量核对表!A62</f>
        <v>4</v>
      </c>
      <c r="B95" s="247" t="str">
        <f>工程量核对表!B62</f>
        <v>M7.5浆砌页岩砖（墙体）</v>
      </c>
      <c r="C95" s="178" t="str">
        <f>工程量核对表!C62</f>
        <v>m3</v>
      </c>
      <c r="D95" s="241">
        <v>21</v>
      </c>
      <c r="E95" s="241">
        <v>618.45</v>
      </c>
      <c r="F95" s="241"/>
      <c r="G95" s="241">
        <v>12987.45</v>
      </c>
      <c r="H95" s="241"/>
      <c r="I95" s="241">
        <v>9.85</v>
      </c>
      <c r="J95" s="256">
        <f t="shared" si="25"/>
        <v>618.45</v>
      </c>
      <c r="K95" s="256"/>
      <c r="L95" s="241">
        <v>6091.73</v>
      </c>
      <c r="M95" s="257"/>
      <c r="N95" s="257">
        <f ca="1">工程量核对表!F62</f>
        <v>9.51696</v>
      </c>
      <c r="O95" s="241">
        <v>560.79</v>
      </c>
      <c r="P95" s="241"/>
      <c r="Q95" s="241">
        <f ca="1" t="shared" si="24"/>
        <v>5337.0159984</v>
      </c>
      <c r="R95" s="277"/>
      <c r="S95" s="262">
        <f ca="1" t="shared" si="26"/>
        <v>-7650.4340016</v>
      </c>
      <c r="T95" s="257">
        <f ca="1" t="shared" si="27"/>
        <v>-754.7140016</v>
      </c>
      <c r="U95" s="276" t="s">
        <v>45</v>
      </c>
    </row>
    <row r="96" s="137" customFormat="1" customHeight="1" spans="1:21">
      <c r="A96" s="246">
        <f>工程量核对表!A63</f>
        <v>5</v>
      </c>
      <c r="B96" s="247" t="str">
        <f>工程量核对表!B63</f>
        <v>C25混凝土浇筑（基础高0.3m，宽0.3m）</v>
      </c>
      <c r="C96" s="178" t="str">
        <f>工程量核对表!C63</f>
        <v>m3</v>
      </c>
      <c r="D96" s="241">
        <v>5.4</v>
      </c>
      <c r="E96" s="241">
        <v>626.37</v>
      </c>
      <c r="F96" s="241"/>
      <c r="G96" s="241">
        <v>3382.4</v>
      </c>
      <c r="H96" s="241"/>
      <c r="I96" s="241">
        <v>6.16</v>
      </c>
      <c r="J96" s="256">
        <f t="shared" si="25"/>
        <v>626.37</v>
      </c>
      <c r="K96" s="256"/>
      <c r="L96" s="241">
        <v>3858.44</v>
      </c>
      <c r="M96" s="257"/>
      <c r="N96" s="257">
        <f ca="1">工程量核对表!F63</f>
        <v>4.0608</v>
      </c>
      <c r="O96" s="241">
        <v>551.44</v>
      </c>
      <c r="P96" s="241"/>
      <c r="Q96" s="241">
        <f ca="1" t="shared" si="24"/>
        <v>2239.287552</v>
      </c>
      <c r="R96" s="277"/>
      <c r="S96" s="262">
        <f ca="1" t="shared" si="26"/>
        <v>-1143.112448</v>
      </c>
      <c r="T96" s="257">
        <f ca="1" t="shared" si="27"/>
        <v>-1619.152448</v>
      </c>
      <c r="U96" s="276" t="s">
        <v>45</v>
      </c>
    </row>
    <row r="97" s="137" customFormat="1" customHeight="1" spans="1:21">
      <c r="A97" s="246">
        <f>工程量核对表!A64</f>
        <v>6</v>
      </c>
      <c r="B97" s="247" t="str">
        <f>工程量核对表!B64</f>
        <v>钢筋制安</v>
      </c>
      <c r="C97" s="178" t="str">
        <f>工程量核对表!C64</f>
        <v>t</v>
      </c>
      <c r="D97" s="288">
        <v>0.528</v>
      </c>
      <c r="E97" s="241">
        <v>6333.7</v>
      </c>
      <c r="F97" s="241"/>
      <c r="G97" s="241">
        <v>3344.19</v>
      </c>
      <c r="H97" s="241"/>
      <c r="I97" s="241">
        <v>0.46</v>
      </c>
      <c r="J97" s="256">
        <f t="shared" si="25"/>
        <v>6333.7</v>
      </c>
      <c r="K97" s="256"/>
      <c r="L97" s="241">
        <v>2913.5</v>
      </c>
      <c r="M97" s="257"/>
      <c r="N97" s="261">
        <f ca="1">工程量核对表!F64</f>
        <v>0.41446464</v>
      </c>
      <c r="O97" s="241">
        <v>6413.9</v>
      </c>
      <c r="P97" s="241"/>
      <c r="Q97" s="241">
        <f ca="1" t="shared" si="24"/>
        <v>2658.334754496</v>
      </c>
      <c r="R97" s="277"/>
      <c r="S97" s="262">
        <f ca="1" t="shared" si="26"/>
        <v>-685.855245504</v>
      </c>
      <c r="T97" s="257">
        <f ca="1" t="shared" si="27"/>
        <v>-255.165245504</v>
      </c>
      <c r="U97" s="276" t="s">
        <v>45</v>
      </c>
    </row>
    <row r="98" s="137" customFormat="1" customHeight="1" spans="1:21">
      <c r="A98" s="246">
        <f>工程量核对表!A65</f>
        <v>7</v>
      </c>
      <c r="B98" s="247" t="str">
        <f>工程量核对表!B65</f>
        <v>围墙双面贴瓷砖</v>
      </c>
      <c r="C98" s="178" t="str">
        <f>工程量核对表!C65</f>
        <v>m2</v>
      </c>
      <c r="D98" s="241">
        <v>180</v>
      </c>
      <c r="E98" s="241">
        <v>95.34</v>
      </c>
      <c r="F98" s="241"/>
      <c r="G98" s="241">
        <v>17161.2</v>
      </c>
      <c r="H98" s="241"/>
      <c r="I98" s="241">
        <v>20.52</v>
      </c>
      <c r="J98" s="256">
        <f t="shared" si="25"/>
        <v>95.34</v>
      </c>
      <c r="K98" s="256"/>
      <c r="L98" s="241">
        <v>1956.38</v>
      </c>
      <c r="M98" s="257"/>
      <c r="N98" s="257">
        <f ca="1">工程量核对表!F65</f>
        <v>29.43</v>
      </c>
      <c r="O98" s="241">
        <v>92.92</v>
      </c>
      <c r="P98" s="241"/>
      <c r="Q98" s="241">
        <f ca="1" t="shared" si="24"/>
        <v>2734.6356</v>
      </c>
      <c r="R98" s="277"/>
      <c r="S98" s="262">
        <f ca="1" t="shared" si="26"/>
        <v>-14426.5644</v>
      </c>
      <c r="T98" s="257">
        <f ca="1" t="shared" si="27"/>
        <v>778.2556</v>
      </c>
      <c r="U98" s="276" t="s">
        <v>45</v>
      </c>
    </row>
    <row r="99" s="137" customFormat="1" customHeight="1" spans="1:21">
      <c r="A99" s="246">
        <f>工程量核对表!A66</f>
        <v>8</v>
      </c>
      <c r="B99" s="247" t="str">
        <f>工程量核对表!B66</f>
        <v>M10砂浆抹面</v>
      </c>
      <c r="C99" s="178" t="str">
        <f>工程量核对表!C66</f>
        <v>m2</v>
      </c>
      <c r="D99" s="241">
        <v>180</v>
      </c>
      <c r="E99" s="241">
        <v>20.51</v>
      </c>
      <c r="F99" s="241"/>
      <c r="G99" s="241">
        <v>3691.8</v>
      </c>
      <c r="H99" s="241"/>
      <c r="I99" s="241">
        <v>41.04</v>
      </c>
      <c r="J99" s="256">
        <f t="shared" si="25"/>
        <v>20.51</v>
      </c>
      <c r="K99" s="256"/>
      <c r="L99" s="241">
        <v>841.73</v>
      </c>
      <c r="M99" s="257"/>
      <c r="N99" s="257">
        <f ca="1">工程量核对表!F66</f>
        <v>38.599</v>
      </c>
      <c r="O99" s="241">
        <v>18.1</v>
      </c>
      <c r="P99" s="241"/>
      <c r="Q99" s="241">
        <f ca="1" t="shared" si="24"/>
        <v>698.6419</v>
      </c>
      <c r="R99" s="277"/>
      <c r="S99" s="262">
        <f ca="1" t="shared" si="26"/>
        <v>-2993.1581</v>
      </c>
      <c r="T99" s="257">
        <f ca="1" t="shared" si="27"/>
        <v>-143.0881</v>
      </c>
      <c r="U99" s="276" t="s">
        <v>45</v>
      </c>
    </row>
    <row r="100" s="137" customFormat="1" customHeight="1" spans="1:22">
      <c r="A100" s="246">
        <f>工程量核对表!A67</f>
        <v>9</v>
      </c>
      <c r="B100" s="247" t="str">
        <f>工程量核对表!B67</f>
        <v>人力二次转运材料（500元/t/km，运距0.4km）</v>
      </c>
      <c r="C100" s="178" t="str">
        <f>工程量核对表!C67</f>
        <v>m3</v>
      </c>
      <c r="D100" s="241">
        <v>61.2</v>
      </c>
      <c r="E100" s="241">
        <v>200</v>
      </c>
      <c r="F100" s="241"/>
      <c r="G100" s="241">
        <v>12240</v>
      </c>
      <c r="H100" s="241"/>
      <c r="I100" s="241">
        <v>35.96</v>
      </c>
      <c r="J100" s="256">
        <f t="shared" si="25"/>
        <v>200</v>
      </c>
      <c r="K100" s="256"/>
      <c r="L100" s="241">
        <v>3596</v>
      </c>
      <c r="M100" s="257"/>
      <c r="N100" s="257"/>
      <c r="O100" s="241"/>
      <c r="P100" s="241"/>
      <c r="Q100" s="241">
        <f ca="1">Q101+Q107</f>
        <v>2355.45722913816</v>
      </c>
      <c r="R100" s="277"/>
      <c r="S100" s="262">
        <f ca="1" t="shared" si="26"/>
        <v>-9884.54277086184</v>
      </c>
      <c r="T100" s="257">
        <f ca="1" t="shared" si="27"/>
        <v>-1240.54277086184</v>
      </c>
      <c r="U100" s="203"/>
      <c r="V100" s="198">
        <f ca="1">T100</f>
        <v>-1240.54277086184</v>
      </c>
    </row>
    <row r="101" s="214" customFormat="1" customHeight="1" spans="1:21">
      <c r="A101" s="238"/>
      <c r="B101" s="239" t="s">
        <v>55</v>
      </c>
      <c r="C101" s="240"/>
      <c r="D101" s="249"/>
      <c r="E101" s="249"/>
      <c r="F101" s="249"/>
      <c r="G101" s="249"/>
      <c r="H101" s="249"/>
      <c r="I101" s="249"/>
      <c r="J101" s="262"/>
      <c r="K101" s="262"/>
      <c r="L101" s="249"/>
      <c r="M101" s="257"/>
      <c r="N101" s="257"/>
      <c r="O101" s="249"/>
      <c r="P101" s="249"/>
      <c r="Q101" s="249">
        <f ca="1">SUM(Q102:Q106)</f>
        <v>492.747884398623</v>
      </c>
      <c r="R101" s="277"/>
      <c r="S101" s="262"/>
      <c r="T101" s="257"/>
      <c r="U101" s="284" t="s">
        <v>56</v>
      </c>
    </row>
    <row r="102" s="214" customFormat="1" customHeight="1" spans="1:21">
      <c r="A102" s="238"/>
      <c r="B102" s="239" t="s">
        <v>57</v>
      </c>
      <c r="C102" s="240" t="s">
        <v>58</v>
      </c>
      <c r="D102" s="249"/>
      <c r="E102" s="249"/>
      <c r="F102" s="249"/>
      <c r="G102" s="249"/>
      <c r="H102" s="249"/>
      <c r="I102" s="249"/>
      <c r="J102" s="262"/>
      <c r="K102" s="262"/>
      <c r="L102" s="249"/>
      <c r="M102" s="257"/>
      <c r="N102" s="257">
        <f ca="1">二转材料统计!AC14</f>
        <v>1.17832940842</v>
      </c>
      <c r="O102" s="249">
        <v>35.77</v>
      </c>
      <c r="P102" s="249"/>
      <c r="Q102" s="249">
        <f ca="1" t="shared" ref="Q102:Q106" si="28">N102*O102</f>
        <v>42.1488429391834</v>
      </c>
      <c r="R102" s="277"/>
      <c r="S102" s="262"/>
      <c r="T102" s="257"/>
      <c r="U102" s="284"/>
    </row>
    <row r="103" s="214" customFormat="1" customHeight="1" spans="1:21">
      <c r="A103" s="238"/>
      <c r="B103" s="239" t="s">
        <v>59</v>
      </c>
      <c r="C103" s="240" t="s">
        <v>60</v>
      </c>
      <c r="D103" s="249"/>
      <c r="E103" s="249"/>
      <c r="F103" s="249"/>
      <c r="G103" s="249"/>
      <c r="H103" s="249"/>
      <c r="I103" s="249"/>
      <c r="J103" s="262"/>
      <c r="K103" s="262"/>
      <c r="L103" s="249"/>
      <c r="M103" s="257"/>
      <c r="N103" s="257">
        <f ca="1">二转材料统计!AD14</f>
        <v>2.64537986</v>
      </c>
      <c r="O103" s="249">
        <v>46.5</v>
      </c>
      <c r="P103" s="249"/>
      <c r="Q103" s="249">
        <f ca="1" t="shared" si="28"/>
        <v>123.01016349</v>
      </c>
      <c r="R103" s="277"/>
      <c r="S103" s="262"/>
      <c r="T103" s="257"/>
      <c r="U103" s="284"/>
    </row>
    <row r="104" s="214" customFormat="1" customHeight="1" spans="1:21">
      <c r="A104" s="238"/>
      <c r="B104" s="239" t="s">
        <v>61</v>
      </c>
      <c r="C104" s="240" t="s">
        <v>60</v>
      </c>
      <c r="D104" s="249"/>
      <c r="E104" s="249"/>
      <c r="F104" s="249"/>
      <c r="G104" s="249"/>
      <c r="H104" s="249"/>
      <c r="I104" s="249"/>
      <c r="J104" s="262"/>
      <c r="K104" s="262"/>
      <c r="L104" s="249"/>
      <c r="M104" s="257"/>
      <c r="N104" s="257">
        <f ca="1">二转材料统计!AE14</f>
        <v>1.40857164</v>
      </c>
      <c r="O104" s="249">
        <v>53.64</v>
      </c>
      <c r="P104" s="249"/>
      <c r="Q104" s="249">
        <f ca="1" t="shared" si="28"/>
        <v>75.5557827696</v>
      </c>
      <c r="R104" s="277"/>
      <c r="S104" s="262"/>
      <c r="T104" s="257"/>
      <c r="U104" s="284"/>
    </row>
    <row r="105" s="214" customFormat="1" customHeight="1" spans="1:21">
      <c r="A105" s="238"/>
      <c r="B105" s="239" t="s">
        <v>62</v>
      </c>
      <c r="C105" s="240" t="s">
        <v>63</v>
      </c>
      <c r="D105" s="249"/>
      <c r="E105" s="249"/>
      <c r="F105" s="249"/>
      <c r="G105" s="249"/>
      <c r="H105" s="249"/>
      <c r="I105" s="249"/>
      <c r="J105" s="262"/>
      <c r="K105" s="262"/>
      <c r="L105" s="249"/>
      <c r="M105" s="257"/>
      <c r="N105" s="257">
        <f ca="1">二转材料统计!AF14</f>
        <v>2.82515904</v>
      </c>
      <c r="O105" s="249">
        <f>O103*1.854</f>
        <v>86.211</v>
      </c>
      <c r="P105" s="249"/>
      <c r="Q105" s="249">
        <f ca="1" t="shared" si="28"/>
        <v>243.55978599744</v>
      </c>
      <c r="R105" s="277"/>
      <c r="S105" s="262"/>
      <c r="T105" s="257"/>
      <c r="U105" s="284"/>
    </row>
    <row r="106" s="214" customFormat="1" customHeight="1" spans="1:21">
      <c r="A106" s="238"/>
      <c r="B106" s="239" t="s">
        <v>64</v>
      </c>
      <c r="C106" s="240" t="s">
        <v>58</v>
      </c>
      <c r="D106" s="249"/>
      <c r="E106" s="249"/>
      <c r="F106" s="249"/>
      <c r="G106" s="249"/>
      <c r="H106" s="249"/>
      <c r="I106" s="249"/>
      <c r="J106" s="262"/>
      <c r="K106" s="262"/>
      <c r="L106" s="249"/>
      <c r="M106" s="257"/>
      <c r="N106" s="261">
        <f ca="1">工程量计算稿!E91</f>
        <v>0.23688312</v>
      </c>
      <c r="O106" s="249">
        <v>35.77</v>
      </c>
      <c r="P106" s="249"/>
      <c r="Q106" s="249">
        <f ca="1" t="shared" si="28"/>
        <v>8.4733092024</v>
      </c>
      <c r="R106" s="277"/>
      <c r="S106" s="262"/>
      <c r="T106" s="257"/>
      <c r="U106" s="284"/>
    </row>
    <row r="107" s="214" customFormat="1" customHeight="1" spans="1:21">
      <c r="A107" s="238"/>
      <c r="B107" s="239" t="s">
        <v>65</v>
      </c>
      <c r="C107" s="240"/>
      <c r="D107" s="249"/>
      <c r="E107" s="249"/>
      <c r="F107" s="249"/>
      <c r="G107" s="249"/>
      <c r="H107" s="249"/>
      <c r="I107" s="249"/>
      <c r="J107" s="262"/>
      <c r="K107" s="262"/>
      <c r="L107" s="249"/>
      <c r="M107" s="257"/>
      <c r="N107" s="257"/>
      <c r="O107" s="249"/>
      <c r="P107" s="249"/>
      <c r="Q107" s="249">
        <f ca="1">SUM(Q108:Q112)</f>
        <v>1862.70934473954</v>
      </c>
      <c r="R107" s="277"/>
      <c r="S107" s="262"/>
      <c r="T107" s="257"/>
      <c r="U107" s="284" t="s">
        <v>66</v>
      </c>
    </row>
    <row r="108" s="214" customFormat="1" customHeight="1" spans="1:21">
      <c r="A108" s="238"/>
      <c r="B108" s="239" t="s">
        <v>57</v>
      </c>
      <c r="C108" s="240" t="s">
        <v>58</v>
      </c>
      <c r="D108" s="249"/>
      <c r="E108" s="249"/>
      <c r="F108" s="249"/>
      <c r="G108" s="249"/>
      <c r="H108" s="249"/>
      <c r="I108" s="249"/>
      <c r="J108" s="262"/>
      <c r="K108" s="262"/>
      <c r="L108" s="249"/>
      <c r="M108" s="257"/>
      <c r="N108" s="257">
        <f ca="1">二转材料统计!AC29</f>
        <v>1.36413890814</v>
      </c>
      <c r="O108" s="249">
        <v>136.02</v>
      </c>
      <c r="P108" s="249"/>
      <c r="Q108" s="249">
        <f ca="1" t="shared" ref="Q108:Q115" si="29">N108*O108</f>
        <v>185.550174285203</v>
      </c>
      <c r="R108" s="277"/>
      <c r="S108" s="262"/>
      <c r="T108" s="257"/>
      <c r="U108" s="284"/>
    </row>
    <row r="109" s="214" customFormat="1" customHeight="1" spans="1:21">
      <c r="A109" s="238"/>
      <c r="B109" s="239" t="s">
        <v>59</v>
      </c>
      <c r="C109" s="240" t="s">
        <v>60</v>
      </c>
      <c r="D109" s="249"/>
      <c r="E109" s="249"/>
      <c r="F109" s="249"/>
      <c r="G109" s="249"/>
      <c r="H109" s="249"/>
      <c r="I109" s="249"/>
      <c r="J109" s="262"/>
      <c r="K109" s="262"/>
      <c r="L109" s="249"/>
      <c r="M109" s="257"/>
      <c r="N109" s="257">
        <f ca="1">二转材料统计!AD29</f>
        <v>2.72826966</v>
      </c>
      <c r="O109" s="249">
        <v>176.84</v>
      </c>
      <c r="P109" s="249"/>
      <c r="Q109" s="249">
        <f ca="1" t="shared" si="29"/>
        <v>482.4672066744</v>
      </c>
      <c r="R109" s="277"/>
      <c r="S109" s="262"/>
      <c r="T109" s="257"/>
      <c r="U109" s="284"/>
    </row>
    <row r="110" s="214" customFormat="1" customHeight="1" spans="1:21">
      <c r="A110" s="238"/>
      <c r="B110" s="239" t="s">
        <v>61</v>
      </c>
      <c r="C110" s="240" t="s">
        <v>60</v>
      </c>
      <c r="D110" s="249"/>
      <c r="E110" s="249"/>
      <c r="F110" s="249"/>
      <c r="G110" s="249"/>
      <c r="H110" s="249"/>
      <c r="I110" s="249"/>
      <c r="J110" s="262"/>
      <c r="K110" s="262"/>
      <c r="L110" s="249"/>
      <c r="M110" s="257"/>
      <c r="N110" s="257">
        <f ca="1">二转材料统计!AE29</f>
        <v>2.11051764</v>
      </c>
      <c r="O110" s="249">
        <v>204.02</v>
      </c>
      <c r="P110" s="249"/>
      <c r="Q110" s="249">
        <f ca="1" t="shared" si="29"/>
        <v>430.5878089128</v>
      </c>
      <c r="R110" s="277"/>
      <c r="S110" s="262"/>
      <c r="T110" s="257"/>
      <c r="U110" s="284"/>
    </row>
    <row r="111" s="214" customFormat="1" customHeight="1" spans="1:21">
      <c r="A111" s="238"/>
      <c r="B111" s="239" t="s">
        <v>62</v>
      </c>
      <c r="C111" s="240" t="s">
        <v>63</v>
      </c>
      <c r="D111" s="249"/>
      <c r="E111" s="249"/>
      <c r="F111" s="249"/>
      <c r="G111" s="249"/>
      <c r="H111" s="249"/>
      <c r="I111" s="249"/>
      <c r="J111" s="262"/>
      <c r="K111" s="262"/>
      <c r="L111" s="249"/>
      <c r="M111" s="257"/>
      <c r="N111" s="257">
        <f ca="1">二转材料统计!AF29</f>
        <v>2.2568976</v>
      </c>
      <c r="O111" s="249">
        <f>O109*1.854</f>
        <v>327.86136</v>
      </c>
      <c r="P111" s="249"/>
      <c r="Q111" s="249">
        <f ca="1" t="shared" si="29"/>
        <v>739.949516516736</v>
      </c>
      <c r="R111" s="277"/>
      <c r="S111" s="262"/>
      <c r="T111" s="257"/>
      <c r="U111" s="284"/>
    </row>
    <row r="112" s="214" customFormat="1" customHeight="1" spans="1:21">
      <c r="A112" s="238"/>
      <c r="B112" s="239" t="s">
        <v>64</v>
      </c>
      <c r="C112" s="240" t="s">
        <v>58</v>
      </c>
      <c r="D112" s="249"/>
      <c r="E112" s="249"/>
      <c r="F112" s="249"/>
      <c r="G112" s="249"/>
      <c r="H112" s="249"/>
      <c r="I112" s="249"/>
      <c r="J112" s="262"/>
      <c r="K112" s="262"/>
      <c r="L112" s="249"/>
      <c r="M112" s="257"/>
      <c r="N112" s="261">
        <f ca="1">工程量计算稿!E90</f>
        <v>0.17758152</v>
      </c>
      <c r="O112" s="249">
        <v>136.02</v>
      </c>
      <c r="P112" s="249"/>
      <c r="Q112" s="249">
        <f ca="1" t="shared" si="29"/>
        <v>24.1546383504</v>
      </c>
      <c r="R112" s="277"/>
      <c r="S112" s="262"/>
      <c r="T112" s="257"/>
      <c r="U112" s="284"/>
    </row>
    <row r="113" s="214" customFormat="1" customHeight="1" spans="1:21">
      <c r="A113" s="238" t="str">
        <f>工程量核对表!A68</f>
        <v>增1</v>
      </c>
      <c r="B113" s="239" t="str">
        <f>工程量核对表!B68</f>
        <v>不锈钢栏杆（制作及安装）</v>
      </c>
      <c r="C113" s="240" t="str">
        <f>工程量核对表!C68</f>
        <v>m2</v>
      </c>
      <c r="D113" s="249"/>
      <c r="E113" s="249"/>
      <c r="F113" s="249"/>
      <c r="G113" s="249"/>
      <c r="H113" s="249"/>
      <c r="I113" s="249">
        <v>73</v>
      </c>
      <c r="J113" s="262">
        <v>200</v>
      </c>
      <c r="K113" s="262"/>
      <c r="L113" s="249">
        <v>14600</v>
      </c>
      <c r="M113" s="257"/>
      <c r="N113" s="257">
        <f ca="1">工程量核对表!F68</f>
        <v>70.132</v>
      </c>
      <c r="O113" s="249">
        <f>J113/1.11*1.0319</f>
        <v>185.927927927928</v>
      </c>
      <c r="P113" s="249"/>
      <c r="Q113" s="249">
        <f ca="1" t="shared" si="29"/>
        <v>13039.4974414415</v>
      </c>
      <c r="R113" s="277"/>
      <c r="S113" s="262">
        <f ca="1">Q113-G113</f>
        <v>13039.4974414415</v>
      </c>
      <c r="T113" s="257">
        <f ca="1">Q113-L113</f>
        <v>-1560.50255855855</v>
      </c>
      <c r="U113" s="284" t="s">
        <v>68</v>
      </c>
    </row>
    <row r="114" s="137" customFormat="1" customHeight="1" spans="1:21">
      <c r="A114" s="242" t="str">
        <f>工程量核对表!A69</f>
        <v>（七）</v>
      </c>
      <c r="B114" s="243" t="str">
        <f>工程量核对表!B69</f>
        <v>不锈钢大门</v>
      </c>
      <c r="C114" s="244" t="str">
        <f>工程量核对表!C69</f>
        <v>套</v>
      </c>
      <c r="D114" s="245">
        <v>2</v>
      </c>
      <c r="E114" s="245">
        <v>1000</v>
      </c>
      <c r="F114" s="245"/>
      <c r="G114" s="245">
        <v>2000</v>
      </c>
      <c r="H114" s="245"/>
      <c r="I114" s="245">
        <v>2</v>
      </c>
      <c r="J114" s="259">
        <f>E114</f>
        <v>1000</v>
      </c>
      <c r="K114" s="259"/>
      <c r="L114" s="245">
        <v>2000</v>
      </c>
      <c r="M114" s="260"/>
      <c r="N114" s="260">
        <f ca="1">工程量核对表!F69</f>
        <v>2</v>
      </c>
      <c r="O114" s="293">
        <f>E114/1.11*1.0319</f>
        <v>929.63963963964</v>
      </c>
      <c r="P114" s="245"/>
      <c r="Q114" s="245">
        <f ca="1" t="shared" si="29"/>
        <v>1859.27927927928</v>
      </c>
      <c r="R114" s="281"/>
      <c r="S114" s="295">
        <f ca="1">Q114-G114</f>
        <v>-140.72072072072</v>
      </c>
      <c r="T114" s="260">
        <f ca="1">Q114-L114</f>
        <v>-140.72072072072</v>
      </c>
      <c r="U114" s="287" t="s">
        <v>45</v>
      </c>
    </row>
    <row r="115" s="137" customFormat="1" customHeight="1" spans="1:21">
      <c r="A115" s="242" t="str">
        <f>工程量核对表!A70</f>
        <v>（八）</v>
      </c>
      <c r="B115" s="243" t="str">
        <f>工程量核对表!B70</f>
        <v>厂牌 安全饮水标志牌 简介牌</v>
      </c>
      <c r="C115" s="244" t="str">
        <f>工程量核对表!C70</f>
        <v>套</v>
      </c>
      <c r="D115" s="245">
        <v>2</v>
      </c>
      <c r="E115" s="245">
        <v>500</v>
      </c>
      <c r="F115" s="245"/>
      <c r="G115" s="245">
        <v>1000</v>
      </c>
      <c r="H115" s="245"/>
      <c r="I115" s="245">
        <v>2</v>
      </c>
      <c r="J115" s="259">
        <f>E115</f>
        <v>500</v>
      </c>
      <c r="K115" s="259"/>
      <c r="L115" s="245">
        <v>1000</v>
      </c>
      <c r="M115" s="260"/>
      <c r="N115" s="260">
        <f ca="1">工程量核对表!F70</f>
        <v>0</v>
      </c>
      <c r="O115" s="293">
        <f>E115/1.11*1.0319</f>
        <v>464.81981981982</v>
      </c>
      <c r="P115" s="245"/>
      <c r="Q115" s="245">
        <f ca="1" t="shared" si="29"/>
        <v>0</v>
      </c>
      <c r="R115" s="281"/>
      <c r="S115" s="295">
        <f ca="1">Q115-G115</f>
        <v>-1000</v>
      </c>
      <c r="T115" s="260">
        <f ca="1">Q115-L115</f>
        <v>-1000</v>
      </c>
      <c r="U115" s="287" t="s">
        <v>45</v>
      </c>
    </row>
    <row r="116" s="137" customFormat="1" customHeight="1" spans="1:21">
      <c r="A116" s="229" t="str">
        <f>工程量核对表!A71</f>
        <v>四</v>
      </c>
      <c r="B116" s="230" t="str">
        <f>工程量核对表!B71</f>
        <v>配水工程</v>
      </c>
      <c r="C116" s="231"/>
      <c r="D116" s="232"/>
      <c r="E116" s="232"/>
      <c r="F116" s="232"/>
      <c r="G116" s="232">
        <v>8360.04</v>
      </c>
      <c r="H116" s="232"/>
      <c r="I116" s="232"/>
      <c r="J116" s="233"/>
      <c r="K116" s="233"/>
      <c r="L116" s="232">
        <v>45079.41</v>
      </c>
      <c r="M116" s="253"/>
      <c r="N116" s="253"/>
      <c r="O116" s="232"/>
      <c r="P116" s="232"/>
      <c r="Q116" s="232">
        <f ca="1">Q117+Q121+Q122</f>
        <v>734.76</v>
      </c>
      <c r="R116" s="270"/>
      <c r="S116" s="232">
        <f ca="1" t="shared" ref="Q116:T116" si="30">S117+S121+S122</f>
        <v>-7625.28</v>
      </c>
      <c r="T116" s="232">
        <f ca="1" t="shared" si="30"/>
        <v>-44344.65</v>
      </c>
      <c r="U116" s="296"/>
    </row>
    <row r="117" s="137" customFormat="1" customHeight="1" spans="1:21">
      <c r="A117" s="242" t="str">
        <f>工程量核对表!A72</f>
        <v>（一）</v>
      </c>
      <c r="B117" s="243" t="str">
        <f>工程量核对表!B72</f>
        <v>管道开挖埋设</v>
      </c>
      <c r="C117" s="244"/>
      <c r="D117" s="259">
        <v>1000</v>
      </c>
      <c r="E117" s="259">
        <v>6.59</v>
      </c>
      <c r="F117" s="259"/>
      <c r="G117" s="259">
        <v>6586.6</v>
      </c>
      <c r="H117" s="259"/>
      <c r="I117" s="245"/>
      <c r="J117" s="259"/>
      <c r="K117" s="259"/>
      <c r="L117" s="245">
        <v>44281.36</v>
      </c>
      <c r="M117" s="260"/>
      <c r="N117" s="260"/>
      <c r="O117" s="245"/>
      <c r="P117" s="245"/>
      <c r="Q117" s="245">
        <f ca="1">SUM(Q118:Q120)</f>
        <v>0</v>
      </c>
      <c r="R117" s="281"/>
      <c r="S117" s="245">
        <f ca="1" t="shared" ref="Q117:T117" si="31">SUM(S118:S120)</f>
        <v>-6586.6</v>
      </c>
      <c r="T117" s="245">
        <f ca="1" t="shared" si="31"/>
        <v>-44281.36</v>
      </c>
      <c r="U117" s="287" t="s">
        <v>69</v>
      </c>
    </row>
    <row r="118" s="137" customFormat="1" customHeight="1" spans="1:21">
      <c r="A118" s="246">
        <f>工程量核对表!A73</f>
        <v>1</v>
      </c>
      <c r="B118" s="247" t="str">
        <f>工程量核对表!B73</f>
        <v>土方开挖</v>
      </c>
      <c r="C118" s="178" t="str">
        <f>工程量核对表!C73</f>
        <v>m3</v>
      </c>
      <c r="D118" s="241">
        <v>60</v>
      </c>
      <c r="E118" s="241">
        <v>19.7</v>
      </c>
      <c r="F118" s="241"/>
      <c r="G118" s="241">
        <v>1182</v>
      </c>
      <c r="H118" s="241"/>
      <c r="I118" s="241">
        <v>537.6</v>
      </c>
      <c r="J118" s="256">
        <f t="shared" ref="J114:J122" si="32">E118</f>
        <v>19.7</v>
      </c>
      <c r="K118" s="256"/>
      <c r="L118" s="241">
        <v>10590.72</v>
      </c>
      <c r="M118" s="257"/>
      <c r="N118" s="257">
        <f ca="1">工程量核对表!F73</f>
        <v>0</v>
      </c>
      <c r="O118" s="241">
        <v>20.02</v>
      </c>
      <c r="P118" s="241"/>
      <c r="Q118" s="241">
        <f ca="1" t="shared" ref="Q117:Q122" si="33">N118*O118</f>
        <v>0</v>
      </c>
      <c r="R118" s="277"/>
      <c r="S118" s="262">
        <f ca="1" t="shared" ref="S117:S122" si="34">Q118-G118</f>
        <v>-1182</v>
      </c>
      <c r="T118" s="257">
        <f ca="1" t="shared" ref="T117:T122" si="35">Q118-L118</f>
        <v>-10590.72</v>
      </c>
      <c r="U118" s="276" t="s">
        <v>45</v>
      </c>
    </row>
    <row r="119" s="137" customFormat="1" customHeight="1" spans="1:21">
      <c r="A119" s="246">
        <f>工程量核对表!A74</f>
        <v>2</v>
      </c>
      <c r="B119" s="247" t="str">
        <f>工程量核对表!B74</f>
        <v>石方开挖</v>
      </c>
      <c r="C119" s="178" t="str">
        <f>工程量核对表!C74</f>
        <v>m3</v>
      </c>
      <c r="D119" s="241">
        <v>60</v>
      </c>
      <c r="E119" s="241">
        <v>57.48</v>
      </c>
      <c r="F119" s="241"/>
      <c r="G119" s="241">
        <v>3448.8</v>
      </c>
      <c r="H119" s="241"/>
      <c r="I119" s="241">
        <v>230.4</v>
      </c>
      <c r="J119" s="256">
        <f t="shared" si="32"/>
        <v>57.48</v>
      </c>
      <c r="K119" s="256"/>
      <c r="L119" s="241">
        <v>13243.39</v>
      </c>
      <c r="M119" s="257"/>
      <c r="N119" s="257">
        <f ca="1">工程量核对表!F74</f>
        <v>0</v>
      </c>
      <c r="O119" s="241">
        <v>55.5</v>
      </c>
      <c r="P119" s="241"/>
      <c r="Q119" s="241">
        <f ca="1" t="shared" si="33"/>
        <v>0</v>
      </c>
      <c r="R119" s="277"/>
      <c r="S119" s="262">
        <f ca="1" t="shared" si="34"/>
        <v>-3448.8</v>
      </c>
      <c r="T119" s="257">
        <f ca="1" t="shared" si="35"/>
        <v>-13243.39</v>
      </c>
      <c r="U119" s="276" t="s">
        <v>45</v>
      </c>
    </row>
    <row r="120" s="137" customFormat="1" customHeight="1" spans="1:21">
      <c r="A120" s="246">
        <f>工程量核对表!A75</f>
        <v>3</v>
      </c>
      <c r="B120" s="247" t="str">
        <f>工程量核对表!B75</f>
        <v>土方回填</v>
      </c>
      <c r="C120" s="178" t="str">
        <f>工程量核对表!C75</f>
        <v>m3</v>
      </c>
      <c r="D120" s="241">
        <v>70</v>
      </c>
      <c r="E120" s="241">
        <v>27.94</v>
      </c>
      <c r="F120" s="241"/>
      <c r="G120" s="241">
        <v>1955.8</v>
      </c>
      <c r="H120" s="241"/>
      <c r="I120" s="241">
        <v>731.83</v>
      </c>
      <c r="J120" s="256">
        <f t="shared" si="32"/>
        <v>27.94</v>
      </c>
      <c r="K120" s="256"/>
      <c r="L120" s="241">
        <v>20447.25</v>
      </c>
      <c r="M120" s="257"/>
      <c r="N120" s="257">
        <f ca="1">工程量核对表!F75</f>
        <v>0</v>
      </c>
      <c r="O120" s="241">
        <v>24.89</v>
      </c>
      <c r="P120" s="241"/>
      <c r="Q120" s="241">
        <f ca="1" t="shared" si="33"/>
        <v>0</v>
      </c>
      <c r="R120" s="277"/>
      <c r="S120" s="262">
        <f ca="1" t="shared" si="34"/>
        <v>-1955.8</v>
      </c>
      <c r="T120" s="257">
        <f ca="1" t="shared" si="35"/>
        <v>-20447.25</v>
      </c>
      <c r="U120" s="276" t="s">
        <v>45</v>
      </c>
    </row>
    <row r="121" s="137" customFormat="1" customHeight="1" spans="1:21">
      <c r="A121" s="242" t="str">
        <f>工程量核对表!A76</f>
        <v>（二）</v>
      </c>
      <c r="B121" s="243" t="str">
        <f>工程量核对表!B76</f>
        <v>公路混凝土破碎</v>
      </c>
      <c r="C121" s="244" t="s">
        <v>60</v>
      </c>
      <c r="D121" s="245">
        <v>2</v>
      </c>
      <c r="E121" s="245">
        <v>260.35</v>
      </c>
      <c r="F121" s="245"/>
      <c r="G121" s="245">
        <v>520.7</v>
      </c>
      <c r="H121" s="245"/>
      <c r="I121" s="245">
        <v>0.9</v>
      </c>
      <c r="J121" s="259">
        <f t="shared" si="32"/>
        <v>260.35</v>
      </c>
      <c r="K121" s="259"/>
      <c r="L121" s="245">
        <v>234.32</v>
      </c>
      <c r="M121" s="260"/>
      <c r="N121" s="260">
        <f ca="1">工程量核对表!F76</f>
        <v>0.9</v>
      </c>
      <c r="O121" s="245">
        <v>264.96</v>
      </c>
      <c r="P121" s="245"/>
      <c r="Q121" s="245">
        <f ca="1" t="shared" si="33"/>
        <v>238.464</v>
      </c>
      <c r="R121" s="281"/>
      <c r="S121" s="295">
        <f ca="1" t="shared" si="34"/>
        <v>-282.236</v>
      </c>
      <c r="T121" s="260">
        <f ca="1" t="shared" si="35"/>
        <v>4.14400000000001</v>
      </c>
      <c r="U121" s="287" t="s">
        <v>45</v>
      </c>
    </row>
    <row r="122" s="137" customFormat="1" customHeight="1" spans="1:21">
      <c r="A122" s="242" t="str">
        <f>工程量核对表!A77</f>
        <v>（三）</v>
      </c>
      <c r="B122" s="243" t="str">
        <f>工程量核对表!B77</f>
        <v>C25砼路面恢复</v>
      </c>
      <c r="C122" s="244" t="str">
        <f>工程量核对表!C77</f>
        <v>m3</v>
      </c>
      <c r="D122" s="245">
        <v>2</v>
      </c>
      <c r="E122" s="245">
        <v>626.37</v>
      </c>
      <c r="F122" s="245"/>
      <c r="G122" s="245">
        <v>1252.74</v>
      </c>
      <c r="H122" s="245"/>
      <c r="I122" s="245">
        <v>0.9</v>
      </c>
      <c r="J122" s="259">
        <f t="shared" si="32"/>
        <v>626.37</v>
      </c>
      <c r="K122" s="259"/>
      <c r="L122" s="259">
        <v>563.73</v>
      </c>
      <c r="M122" s="260"/>
      <c r="N122" s="260">
        <f ca="1">工程量核对表!F77</f>
        <v>0.9</v>
      </c>
      <c r="O122" s="245">
        <v>551.44</v>
      </c>
      <c r="P122" s="245"/>
      <c r="Q122" s="245">
        <f ca="1" t="shared" si="33"/>
        <v>496.296</v>
      </c>
      <c r="R122" s="281"/>
      <c r="S122" s="295">
        <f ca="1" t="shared" si="34"/>
        <v>-756.444</v>
      </c>
      <c r="T122" s="260">
        <f ca="1" t="shared" si="35"/>
        <v>-67.434</v>
      </c>
      <c r="U122" s="287" t="s">
        <v>45</v>
      </c>
    </row>
    <row r="123" s="146" customFormat="1" customHeight="1" spans="1:21">
      <c r="A123" s="106"/>
      <c r="B123" s="106" t="str">
        <f>工程量核对表!B78</f>
        <v>第二部分 机电设备安装工程</v>
      </c>
      <c r="C123" s="204"/>
      <c r="D123" s="290"/>
      <c r="E123" s="290"/>
      <c r="F123" s="290"/>
      <c r="G123" s="290">
        <f>G124+G125+G132+G138</f>
        <v>554101.33</v>
      </c>
      <c r="H123" s="290">
        <f>H125+H138</f>
        <v>130129</v>
      </c>
      <c r="I123" s="251"/>
      <c r="J123" s="251"/>
      <c r="K123" s="251"/>
      <c r="L123" s="290">
        <f>L124+L125+L132+L138</f>
        <v>582654.41</v>
      </c>
      <c r="M123" s="290">
        <f>M125+M138</f>
        <v>127342</v>
      </c>
      <c r="N123" s="294"/>
      <c r="O123" s="251"/>
      <c r="P123" s="251"/>
      <c r="Q123" s="290">
        <f ca="1">Q124+Q125+Q132+Q138</f>
        <v>498258.15036036</v>
      </c>
      <c r="R123" s="290">
        <f ca="1">R124+R125+R132+R138</f>
        <v>118382.170990991</v>
      </c>
      <c r="S123" s="290">
        <f ca="1">S124+S125+S132+S138</f>
        <v>-87670.2248648649</v>
      </c>
      <c r="T123" s="290">
        <f ca="1">T124+T125+T132+T138</f>
        <v>-13356.0886486487</v>
      </c>
      <c r="U123" s="269"/>
    </row>
    <row r="124" s="146" customFormat="1" customHeight="1" spans="1:21">
      <c r="A124" s="229" t="str">
        <f>工程量核对表!A79</f>
        <v>一</v>
      </c>
      <c r="B124" s="291" t="str">
        <f>工程量核对表!B79</f>
        <v>取水工程</v>
      </c>
      <c r="C124" s="229"/>
      <c r="D124" s="232"/>
      <c r="E124" s="232"/>
      <c r="F124" s="232"/>
      <c r="G124" s="232"/>
      <c r="H124" s="233"/>
      <c r="I124" s="233"/>
      <c r="J124" s="233"/>
      <c r="K124" s="233"/>
      <c r="L124" s="232"/>
      <c r="M124" s="232"/>
      <c r="N124" s="253"/>
      <c r="O124" s="233"/>
      <c r="P124" s="233"/>
      <c r="Q124" s="233"/>
      <c r="R124" s="297"/>
      <c r="S124" s="271"/>
      <c r="T124" s="253"/>
      <c r="U124" s="296"/>
    </row>
    <row r="125" s="146" customFormat="1" customHeight="1" spans="1:21">
      <c r="A125" s="229" t="str">
        <f>工程量核对表!A80</f>
        <v>二</v>
      </c>
      <c r="B125" s="291" t="str">
        <f>工程量核对表!B80</f>
        <v>输水工程</v>
      </c>
      <c r="C125" s="229"/>
      <c r="D125" s="232"/>
      <c r="E125" s="232"/>
      <c r="F125" s="232"/>
      <c r="G125" s="232">
        <f>SUM(G126:G131)</f>
        <v>153400</v>
      </c>
      <c r="H125" s="232">
        <f>SUM(H126:H131)</f>
        <v>38784</v>
      </c>
      <c r="I125" s="233"/>
      <c r="J125" s="233"/>
      <c r="K125" s="233"/>
      <c r="L125" s="232">
        <f>SUM(L126:L131)</f>
        <v>342950</v>
      </c>
      <c r="M125" s="232">
        <f>SUM(M126:M131)</f>
        <v>72792</v>
      </c>
      <c r="N125" s="253"/>
      <c r="O125" s="233"/>
      <c r="P125" s="233"/>
      <c r="Q125" s="232">
        <f ca="1">SUM(Q126:Q131)</f>
        <v>266734.064684685</v>
      </c>
      <c r="R125" s="232">
        <f ca="1">SUM(R126:R131)</f>
        <v>67670.3286486487</v>
      </c>
      <c r="S125" s="232">
        <f ca="1">SUM(S126:S130)</f>
        <v>142220.393333333</v>
      </c>
      <c r="T125" s="232">
        <f ca="1">SUM(T126:T130)</f>
        <v>-1337.60666666667</v>
      </c>
      <c r="U125" s="296"/>
    </row>
    <row r="126" s="146" customFormat="1" customHeight="1" spans="1:21">
      <c r="A126" s="246">
        <f>工程量核对表!A81</f>
        <v>1</v>
      </c>
      <c r="B126" s="292" t="str">
        <f>工程量核对表!B81</f>
        <v>DN40热镀锌无缝钢管壁厚4.0</v>
      </c>
      <c r="C126" s="246" t="str">
        <f>工程量核对表!C81</f>
        <v>m</v>
      </c>
      <c r="D126" s="241">
        <v>2000</v>
      </c>
      <c r="E126" s="241">
        <v>43</v>
      </c>
      <c r="F126" s="241">
        <v>10.32</v>
      </c>
      <c r="G126" s="241">
        <f t="shared" ref="G126:G130" si="36">D126*E126</f>
        <v>86000</v>
      </c>
      <c r="H126" s="241">
        <f>D126*F126</f>
        <v>20640</v>
      </c>
      <c r="I126" s="256">
        <v>3000</v>
      </c>
      <c r="J126" s="241">
        <v>43</v>
      </c>
      <c r="K126" s="241">
        <v>10.32</v>
      </c>
      <c r="L126" s="241">
        <f t="shared" ref="L126:L131" si="37">I126*J126</f>
        <v>129000</v>
      </c>
      <c r="M126" s="241">
        <f>I126*K126</f>
        <v>30960</v>
      </c>
      <c r="N126" s="257">
        <f ca="1">工程量核对表!F81</f>
        <v>3000</v>
      </c>
      <c r="O126" s="262">
        <f>E126*1.0319</f>
        <v>44.3717</v>
      </c>
      <c r="P126" s="262">
        <f>F126/1.11*1.0319</f>
        <v>9.59388108108108</v>
      </c>
      <c r="Q126" s="241">
        <f ca="1" t="shared" ref="Q126:Q131" si="38">N126*O126</f>
        <v>133115.1</v>
      </c>
      <c r="R126" s="241">
        <f ca="1">N126*P126</f>
        <v>28781.6432432432</v>
      </c>
      <c r="S126" s="262">
        <f ca="1">R126+Q126-H126-G126</f>
        <v>55256.7432432432</v>
      </c>
      <c r="T126" s="257">
        <f ca="1">Q126+R126-L126-M126</f>
        <v>1936.74324324323</v>
      </c>
      <c r="U126" s="276" t="s">
        <v>45</v>
      </c>
    </row>
    <row r="127" s="146" customFormat="1" customHeight="1" spans="1:21">
      <c r="A127" s="246">
        <f>工程量核对表!A82</f>
        <v>2</v>
      </c>
      <c r="B127" s="292" t="str">
        <f>工程量核对表!B82</f>
        <v>DN40热镀锌无缝钢管壁厚3.5</v>
      </c>
      <c r="C127" s="246" t="str">
        <f>工程量核对表!C82</f>
        <v>m</v>
      </c>
      <c r="D127" s="241">
        <v>1800</v>
      </c>
      <c r="E127" s="241">
        <v>28</v>
      </c>
      <c r="F127" s="241">
        <v>10.08</v>
      </c>
      <c r="G127" s="241">
        <f t="shared" si="36"/>
        <v>50400</v>
      </c>
      <c r="H127" s="241">
        <f>D127*F127</f>
        <v>18144</v>
      </c>
      <c r="I127" s="256">
        <v>4150</v>
      </c>
      <c r="J127" s="241">
        <v>28</v>
      </c>
      <c r="K127" s="241">
        <v>10.08</v>
      </c>
      <c r="L127" s="241">
        <f t="shared" si="37"/>
        <v>116200</v>
      </c>
      <c r="M127" s="241">
        <f>I127*K127</f>
        <v>41832</v>
      </c>
      <c r="N127" s="257">
        <f ca="1">工程量核对表!F82</f>
        <v>4150</v>
      </c>
      <c r="O127" s="262">
        <f>E127*1.0319</f>
        <v>28.8932</v>
      </c>
      <c r="P127" s="262">
        <f>F127/1.11*1.0319</f>
        <v>9.37076756756757</v>
      </c>
      <c r="Q127" s="241">
        <f ca="1" t="shared" si="38"/>
        <v>119906.78</v>
      </c>
      <c r="R127" s="241">
        <f ca="1">N127*P127</f>
        <v>38888.6854054054</v>
      </c>
      <c r="S127" s="262">
        <f ca="1">R127+Q127-H127-G127</f>
        <v>90251.4654054054</v>
      </c>
      <c r="T127" s="257">
        <f ca="1">Q127+R127-L127-M127</f>
        <v>763.465405405412</v>
      </c>
      <c r="U127" s="276" t="s">
        <v>45</v>
      </c>
    </row>
    <row r="128" s="146" customFormat="1" customHeight="1" spans="1:21">
      <c r="A128" s="246">
        <f>工程量核对表!A83</f>
        <v>3</v>
      </c>
      <c r="B128" s="292" t="str">
        <f>工程量核对表!B83</f>
        <v>DN40下村主管高压闸阀、高压水表</v>
      </c>
      <c r="C128" s="246" t="str">
        <f>工程量核对表!C83</f>
        <v>套</v>
      </c>
      <c r="D128" s="241">
        <v>2</v>
      </c>
      <c r="E128" s="241">
        <v>4000</v>
      </c>
      <c r="F128" s="241"/>
      <c r="G128" s="241">
        <f t="shared" si="36"/>
        <v>8000</v>
      </c>
      <c r="H128" s="241"/>
      <c r="I128" s="256">
        <v>2</v>
      </c>
      <c r="J128" s="241">
        <v>4000</v>
      </c>
      <c r="K128" s="256"/>
      <c r="L128" s="241">
        <f t="shared" si="37"/>
        <v>8000</v>
      </c>
      <c r="M128" s="241"/>
      <c r="N128" s="257">
        <f ca="1">工程量核对表!F83</f>
        <v>2</v>
      </c>
      <c r="O128" s="262">
        <f>E128/1.11*1.0319</f>
        <v>3718.55855855856</v>
      </c>
      <c r="P128" s="256"/>
      <c r="Q128" s="241">
        <f ca="1" t="shared" si="38"/>
        <v>7437.11711711712</v>
      </c>
      <c r="R128" s="283"/>
      <c r="S128" s="262">
        <f ca="1">R128+Q128-H128-G128</f>
        <v>-562.88288288288</v>
      </c>
      <c r="T128" s="257">
        <f ca="1">Q128+R128-L128-M128</f>
        <v>-562.88288288288</v>
      </c>
      <c r="U128" s="276" t="s">
        <v>45</v>
      </c>
    </row>
    <row r="129" s="146" customFormat="1" customHeight="1" spans="1:21">
      <c r="A129" s="246">
        <f>工程量核对表!A84</f>
        <v>4</v>
      </c>
      <c r="B129" s="292" t="str">
        <f>工程量核对表!B84</f>
        <v>闸阀、伸缩节、交接头</v>
      </c>
      <c r="C129" s="246" t="str">
        <f>工程量核对表!C84</f>
        <v>套</v>
      </c>
      <c r="D129" s="241">
        <v>2</v>
      </c>
      <c r="E129" s="241">
        <v>3000</v>
      </c>
      <c r="F129" s="241"/>
      <c r="G129" s="241">
        <f t="shared" si="36"/>
        <v>6000</v>
      </c>
      <c r="H129" s="241"/>
      <c r="I129" s="256">
        <v>3</v>
      </c>
      <c r="J129" s="241">
        <v>3000</v>
      </c>
      <c r="K129" s="256"/>
      <c r="L129" s="241">
        <f t="shared" si="37"/>
        <v>9000</v>
      </c>
      <c r="M129" s="241"/>
      <c r="N129" s="257">
        <f ca="1">工程量核对表!F84</f>
        <v>2</v>
      </c>
      <c r="O129" s="262">
        <f>E129/1.11*1.0319</f>
        <v>2788.91891891892</v>
      </c>
      <c r="P129" s="256"/>
      <c r="Q129" s="241">
        <f ca="1" t="shared" si="38"/>
        <v>5577.83783783784</v>
      </c>
      <c r="R129" s="283"/>
      <c r="S129" s="262">
        <f ca="1">R129+Q129-H129-G129</f>
        <v>-422.16216216216</v>
      </c>
      <c r="T129" s="257">
        <f ca="1">Q129+R129-L129-M129</f>
        <v>-3422.16216216216</v>
      </c>
      <c r="U129" s="276" t="s">
        <v>45</v>
      </c>
    </row>
    <row r="130" s="146" customFormat="1" customHeight="1" spans="1:21">
      <c r="A130" s="246">
        <f>工程量核对表!A85</f>
        <v>5</v>
      </c>
      <c r="B130" s="292" t="str">
        <f>工程量核对表!B85</f>
        <v>减压阀</v>
      </c>
      <c r="C130" s="246" t="str">
        <f>工程量核对表!C85</f>
        <v>个</v>
      </c>
      <c r="D130" s="241">
        <v>4</v>
      </c>
      <c r="E130" s="241">
        <v>750</v>
      </c>
      <c r="F130" s="241"/>
      <c r="G130" s="241">
        <f t="shared" si="36"/>
        <v>3000</v>
      </c>
      <c r="H130" s="241"/>
      <c r="I130" s="256">
        <v>1</v>
      </c>
      <c r="J130" s="241">
        <v>750</v>
      </c>
      <c r="K130" s="256"/>
      <c r="L130" s="241">
        <f t="shared" si="37"/>
        <v>750</v>
      </c>
      <c r="M130" s="241"/>
      <c r="N130" s="257">
        <f ca="1">工程量核对表!F85</f>
        <v>1</v>
      </c>
      <c r="O130" s="262">
        <f>E130/1.11*1.0319</f>
        <v>697.22972972973</v>
      </c>
      <c r="P130" s="256"/>
      <c r="Q130" s="241">
        <f ca="1" t="shared" si="38"/>
        <v>697.22972972973</v>
      </c>
      <c r="R130" s="283"/>
      <c r="S130" s="262">
        <f ca="1">R130+Q130-H130-G130</f>
        <v>-2302.77027027027</v>
      </c>
      <c r="T130" s="257">
        <f ca="1">Q130+R130-L130-M130</f>
        <v>-52.77027027027</v>
      </c>
      <c r="U130" s="276" t="s">
        <v>45</v>
      </c>
    </row>
    <row r="131" s="146" customFormat="1" customHeight="1" spans="1:21">
      <c r="A131" s="246">
        <f>工程量核对表!A86</f>
        <v>6</v>
      </c>
      <c r="B131" s="292" t="s">
        <v>70</v>
      </c>
      <c r="C131" s="246" t="s">
        <v>71</v>
      </c>
      <c r="D131" s="241"/>
      <c r="E131" s="241"/>
      <c r="F131" s="241"/>
      <c r="G131" s="241"/>
      <c r="H131" s="241"/>
      <c r="I131" s="256">
        <v>1</v>
      </c>
      <c r="J131" s="241">
        <v>80000</v>
      </c>
      <c r="K131" s="256"/>
      <c r="L131" s="241">
        <f t="shared" si="37"/>
        <v>80000</v>
      </c>
      <c r="M131" s="241"/>
      <c r="N131" s="257">
        <v>0</v>
      </c>
      <c r="O131" s="262"/>
      <c r="P131" s="256"/>
      <c r="Q131" s="241">
        <f t="shared" si="38"/>
        <v>0</v>
      </c>
      <c r="R131" s="283"/>
      <c r="S131" s="262"/>
      <c r="T131" s="257"/>
      <c r="U131" s="276"/>
    </row>
    <row r="132" s="146" customFormat="1" customHeight="1" spans="1:21">
      <c r="A132" s="229" t="str">
        <f>工程量核对表!A87</f>
        <v>三</v>
      </c>
      <c r="B132" s="291" t="str">
        <f>工程量核对表!B87</f>
        <v>水厂工程</v>
      </c>
      <c r="C132" s="229"/>
      <c r="D132" s="232"/>
      <c r="E132" s="232"/>
      <c r="F132" s="232"/>
      <c r="G132" s="232">
        <f>SUM(G133:G137)</f>
        <v>24100</v>
      </c>
      <c r="H132" s="232"/>
      <c r="I132" s="233"/>
      <c r="J132" s="233"/>
      <c r="K132" s="233"/>
      <c r="L132" s="232">
        <f>SUM(L133:L137)</f>
        <v>25100</v>
      </c>
      <c r="M132" s="232"/>
      <c r="N132" s="232"/>
      <c r="O132" s="233"/>
      <c r="P132" s="233"/>
      <c r="Q132" s="232">
        <f ca="1">SUM(Q133:Q137)</f>
        <v>21474.6756756757</v>
      </c>
      <c r="R132" s="232"/>
      <c r="S132" s="232">
        <f ca="1">SUM(S133:S137)</f>
        <v>-22705.5405405405</v>
      </c>
      <c r="T132" s="232">
        <f ca="1">SUM(T133:T137)</f>
        <v>-3625.32432432432</v>
      </c>
      <c r="U132" s="296"/>
    </row>
    <row r="133" s="146" customFormat="1" customHeight="1" spans="1:21">
      <c r="A133" s="246">
        <f>工程量核对表!A88</f>
        <v>1</v>
      </c>
      <c r="B133" s="292" t="str">
        <f>工程量核对表!B88</f>
        <v>浮球阀</v>
      </c>
      <c r="C133" s="246" t="str">
        <f>工程量核对表!C88</f>
        <v>个</v>
      </c>
      <c r="D133" s="241">
        <v>2</v>
      </c>
      <c r="E133" s="241">
        <v>750</v>
      </c>
      <c r="F133" s="241"/>
      <c r="G133" s="241">
        <f t="shared" ref="G133:G137" si="39">D133*E133</f>
        <v>1500</v>
      </c>
      <c r="H133" s="241"/>
      <c r="I133" s="256">
        <v>2</v>
      </c>
      <c r="J133" s="241">
        <v>750</v>
      </c>
      <c r="K133" s="241"/>
      <c r="L133" s="241">
        <f t="shared" ref="L133:L137" si="40">I133*J133</f>
        <v>1500</v>
      </c>
      <c r="M133" s="241"/>
      <c r="N133" s="257">
        <f ca="1">工程量核对表!F88</f>
        <v>2</v>
      </c>
      <c r="O133" s="262">
        <f>E133/1.11*1.0319</f>
        <v>697.22972972973</v>
      </c>
      <c r="P133" s="262"/>
      <c r="Q133" s="241">
        <f ca="1">N133*O133</f>
        <v>1394.45945945946</v>
      </c>
      <c r="R133" s="283"/>
      <c r="S133" s="262">
        <f ca="1">Q133-G133</f>
        <v>-105.54054054054</v>
      </c>
      <c r="T133" s="257">
        <f ca="1">Q133-L133</f>
        <v>-105.54054054054</v>
      </c>
      <c r="U133" s="276" t="s">
        <v>45</v>
      </c>
    </row>
    <row r="134" s="146" customFormat="1" customHeight="1" spans="1:21">
      <c r="A134" s="246">
        <f>工程量核对表!A89</f>
        <v>2</v>
      </c>
      <c r="B134" s="292" t="str">
        <f>工程量核对表!B89</f>
        <v>dn50紫外线杀毒灯</v>
      </c>
      <c r="C134" s="246" t="str">
        <f>工程量核对表!C89</f>
        <v>个</v>
      </c>
      <c r="D134" s="241">
        <v>2</v>
      </c>
      <c r="E134" s="241">
        <v>5500</v>
      </c>
      <c r="F134" s="241"/>
      <c r="G134" s="241">
        <f t="shared" si="39"/>
        <v>11000</v>
      </c>
      <c r="H134" s="241"/>
      <c r="I134" s="256">
        <v>2</v>
      </c>
      <c r="J134" s="241">
        <v>5500</v>
      </c>
      <c r="K134" s="241"/>
      <c r="L134" s="241">
        <f t="shared" si="40"/>
        <v>11000</v>
      </c>
      <c r="M134" s="241"/>
      <c r="N134" s="257">
        <f ca="1">工程量核对表!F89</f>
        <v>2</v>
      </c>
      <c r="O134" s="262">
        <f>E134/1.11*1.0319</f>
        <v>5113.01801801802</v>
      </c>
      <c r="P134" s="262"/>
      <c r="Q134" s="241">
        <f ca="1" t="shared" ref="Q132:Q143" si="41">N134*O134</f>
        <v>10226.036036036</v>
      </c>
      <c r="R134" s="283"/>
      <c r="S134" s="262">
        <f>R134-G134</f>
        <v>-11000</v>
      </c>
      <c r="T134" s="257">
        <f ca="1">Q134-L134</f>
        <v>-773.963963963961</v>
      </c>
      <c r="U134" s="276" t="s">
        <v>45</v>
      </c>
    </row>
    <row r="135" s="146" customFormat="1" customHeight="1" spans="1:21">
      <c r="A135" s="246">
        <f>工程量核对表!A90</f>
        <v>3</v>
      </c>
      <c r="B135" s="292" t="str">
        <f>工程量核对表!B90</f>
        <v>电表</v>
      </c>
      <c r="C135" s="246" t="str">
        <f>工程量核对表!C90</f>
        <v>支</v>
      </c>
      <c r="D135" s="241">
        <v>2</v>
      </c>
      <c r="E135" s="241">
        <v>3000</v>
      </c>
      <c r="F135" s="241"/>
      <c r="G135" s="241">
        <f t="shared" si="39"/>
        <v>6000</v>
      </c>
      <c r="H135" s="241"/>
      <c r="I135" s="256">
        <v>2</v>
      </c>
      <c r="J135" s="241">
        <v>3000</v>
      </c>
      <c r="K135" s="241"/>
      <c r="L135" s="241">
        <f t="shared" si="40"/>
        <v>6000</v>
      </c>
      <c r="M135" s="241"/>
      <c r="N135" s="257">
        <f ca="1">工程量核对表!F90</f>
        <v>2</v>
      </c>
      <c r="O135" s="262">
        <f>E135/1.11*1.0319</f>
        <v>2788.91891891892</v>
      </c>
      <c r="P135" s="262"/>
      <c r="Q135" s="241">
        <f ca="1" t="shared" si="41"/>
        <v>5577.83783783784</v>
      </c>
      <c r="R135" s="283"/>
      <c r="S135" s="262">
        <f>R135-G135</f>
        <v>-6000</v>
      </c>
      <c r="T135" s="257">
        <f ca="1">Q135-L135</f>
        <v>-422.16216216216</v>
      </c>
      <c r="U135" s="276" t="s">
        <v>45</v>
      </c>
    </row>
    <row r="136" s="146" customFormat="1" customHeight="1" spans="1:21">
      <c r="A136" s="246">
        <f>工程量核对表!A91</f>
        <v>4</v>
      </c>
      <c r="B136" s="292" t="str">
        <f>工程量核对表!B91</f>
        <v>220V供电线路</v>
      </c>
      <c r="C136" s="246" t="str">
        <f>工程量核对表!C91</f>
        <v>m</v>
      </c>
      <c r="D136" s="241">
        <v>200</v>
      </c>
      <c r="E136" s="241">
        <v>18</v>
      </c>
      <c r="F136" s="241"/>
      <c r="G136" s="241">
        <f t="shared" si="39"/>
        <v>3600</v>
      </c>
      <c r="H136" s="241"/>
      <c r="I136" s="256">
        <v>200</v>
      </c>
      <c r="J136" s="241">
        <v>18</v>
      </c>
      <c r="K136" s="241"/>
      <c r="L136" s="241">
        <f t="shared" si="40"/>
        <v>3600</v>
      </c>
      <c r="M136" s="241"/>
      <c r="N136" s="257">
        <f ca="1">工程量核对表!F91</f>
        <v>200</v>
      </c>
      <c r="O136" s="262">
        <f>E136/1.11*1.0319</f>
        <v>16.7335135135135</v>
      </c>
      <c r="P136" s="262"/>
      <c r="Q136" s="241">
        <f ca="1" t="shared" si="41"/>
        <v>3346.7027027027</v>
      </c>
      <c r="R136" s="283"/>
      <c r="S136" s="262">
        <f>R136-G136</f>
        <v>-3600</v>
      </c>
      <c r="T136" s="257">
        <f ca="1">Q136-L136</f>
        <v>-253.2972972973</v>
      </c>
      <c r="U136" s="276" t="s">
        <v>45</v>
      </c>
    </row>
    <row r="137" s="146" customFormat="1" customHeight="1" spans="1:21">
      <c r="A137" s="246">
        <f>工程量核对表!A92</f>
        <v>5</v>
      </c>
      <c r="B137" s="292" t="str">
        <f>工程量核对表!B92</f>
        <v>电杆架设</v>
      </c>
      <c r="C137" s="246" t="str">
        <f>工程量核对表!C92</f>
        <v>根</v>
      </c>
      <c r="D137" s="241">
        <v>2</v>
      </c>
      <c r="E137" s="241">
        <v>1000</v>
      </c>
      <c r="F137" s="241"/>
      <c r="G137" s="241">
        <f t="shared" si="39"/>
        <v>2000</v>
      </c>
      <c r="H137" s="241"/>
      <c r="I137" s="256">
        <v>3</v>
      </c>
      <c r="J137" s="241">
        <v>1000</v>
      </c>
      <c r="K137" s="241"/>
      <c r="L137" s="241">
        <f t="shared" si="40"/>
        <v>3000</v>
      </c>
      <c r="M137" s="241"/>
      <c r="N137" s="257">
        <f ca="1">工程量核对表!F92</f>
        <v>1</v>
      </c>
      <c r="O137" s="262">
        <f>E137/1.11*1.0319</f>
        <v>929.63963963964</v>
      </c>
      <c r="P137" s="262"/>
      <c r="Q137" s="241">
        <f ca="1" t="shared" si="41"/>
        <v>929.63963963964</v>
      </c>
      <c r="R137" s="283"/>
      <c r="S137" s="262">
        <f>R137-G137</f>
        <v>-2000</v>
      </c>
      <c r="T137" s="257">
        <f ca="1">Q137-L137</f>
        <v>-2070.36036036036</v>
      </c>
      <c r="U137" s="276" t="s">
        <v>45</v>
      </c>
    </row>
    <row r="138" s="146" customFormat="1" customHeight="1" spans="1:21">
      <c r="A138" s="229" t="str">
        <f>工程量核对表!A93</f>
        <v>四</v>
      </c>
      <c r="B138" s="291" t="str">
        <f>工程量核对表!B93</f>
        <v>配水工程</v>
      </c>
      <c r="C138" s="229"/>
      <c r="D138" s="232"/>
      <c r="E138" s="232"/>
      <c r="F138" s="232"/>
      <c r="G138" s="232">
        <f t="shared" ref="G138:M138" si="42">SUM(G139:G144)</f>
        <v>376601.33</v>
      </c>
      <c r="H138" s="232">
        <f t="shared" si="42"/>
        <v>91345</v>
      </c>
      <c r="I138" s="233"/>
      <c r="J138" s="233"/>
      <c r="K138" s="233"/>
      <c r="L138" s="232">
        <f t="shared" si="42"/>
        <v>214604.41</v>
      </c>
      <c r="M138" s="232">
        <f t="shared" si="42"/>
        <v>54550</v>
      </c>
      <c r="N138" s="232"/>
      <c r="O138" s="232"/>
      <c r="P138" s="271"/>
      <c r="Q138" s="232">
        <f ca="1">SUM(Q139:Q144)</f>
        <v>210049.41</v>
      </c>
      <c r="R138" s="232">
        <f ca="1">SUM(R139:R144)</f>
        <v>50711.8423423423</v>
      </c>
      <c r="S138" s="232">
        <f ca="1">SUM(S139:S144)</f>
        <v>-207185.077657658</v>
      </c>
      <c r="T138" s="232">
        <f ca="1">SUM(T139:T144)</f>
        <v>-8393.1576576577</v>
      </c>
      <c r="U138" s="296"/>
    </row>
    <row r="139" s="146" customFormat="1" customHeight="1" spans="1:21">
      <c r="A139" s="246">
        <f>工程量核对表!A94</f>
        <v>1</v>
      </c>
      <c r="B139" s="292" t="str">
        <f>工程量核对表!B94</f>
        <v>dn50（1.6MPa壁厚4.6）PE管</v>
      </c>
      <c r="C139" s="246" t="str">
        <f>工程量核对表!C94</f>
        <v>m</v>
      </c>
      <c r="D139" s="241">
        <v>5500</v>
      </c>
      <c r="E139" s="241">
        <v>15.7</v>
      </c>
      <c r="F139" s="241">
        <v>3.14</v>
      </c>
      <c r="G139" s="241">
        <f t="shared" ref="G139:G143" si="43">D139*E139</f>
        <v>86350</v>
      </c>
      <c r="H139" s="241">
        <f t="shared" ref="H139:H143" si="44">D139*F139</f>
        <v>17270</v>
      </c>
      <c r="I139" s="256">
        <v>2800</v>
      </c>
      <c r="J139" s="241">
        <v>15.7</v>
      </c>
      <c r="K139" s="241">
        <v>3.14</v>
      </c>
      <c r="L139" s="241">
        <f t="shared" ref="L139:L143" si="45">I139*J139</f>
        <v>43960</v>
      </c>
      <c r="M139" s="241">
        <f>I139*K139</f>
        <v>8792</v>
      </c>
      <c r="N139" s="257">
        <f ca="1">工程量核对表!F94</f>
        <v>2800</v>
      </c>
      <c r="O139" s="262">
        <v>15.7</v>
      </c>
      <c r="P139" s="262">
        <f>F139/1.11*1.0319</f>
        <v>2.91906846846847</v>
      </c>
      <c r="Q139" s="241">
        <f ca="1" t="shared" si="41"/>
        <v>43960</v>
      </c>
      <c r="R139" s="241">
        <f ca="1" t="shared" ref="R136:R143" si="46">N139*P139</f>
        <v>8173.39171171172</v>
      </c>
      <c r="S139" s="262">
        <f ca="1" t="shared" ref="S139:S144" si="47">R139+Q139-H139-G139</f>
        <v>-51486.6082882883</v>
      </c>
      <c r="T139" s="257">
        <f ca="1" t="shared" ref="T139:T144" si="48">Q139+R139-L139-M139</f>
        <v>-618.608288288284</v>
      </c>
      <c r="U139" s="320" t="s">
        <v>35</v>
      </c>
    </row>
    <row r="140" s="146" customFormat="1" customHeight="1" spans="1:21">
      <c r="A140" s="246">
        <f>工程量核对表!A95</f>
        <v>2</v>
      </c>
      <c r="B140" s="292" t="str">
        <f>工程量核对表!B95</f>
        <v>dn40（1.6MPa壁厚3.7）PE管</v>
      </c>
      <c r="C140" s="246" t="str">
        <f>工程量核对表!C95</f>
        <v>m</v>
      </c>
      <c r="D140" s="241">
        <v>7800</v>
      </c>
      <c r="E140" s="241">
        <v>10.16</v>
      </c>
      <c r="F140" s="241">
        <v>2.54</v>
      </c>
      <c r="G140" s="241">
        <f t="shared" si="43"/>
        <v>79248</v>
      </c>
      <c r="H140" s="241">
        <f t="shared" si="44"/>
        <v>19812</v>
      </c>
      <c r="I140" s="256">
        <v>4000</v>
      </c>
      <c r="J140" s="241">
        <v>10.16</v>
      </c>
      <c r="K140" s="241">
        <v>2.54</v>
      </c>
      <c r="L140" s="241">
        <f t="shared" si="45"/>
        <v>40640</v>
      </c>
      <c r="M140" s="241">
        <f>I140*K140</f>
        <v>10160</v>
      </c>
      <c r="N140" s="257">
        <f ca="1">工程量核对表!F95</f>
        <v>4000</v>
      </c>
      <c r="O140" s="262">
        <v>10.16</v>
      </c>
      <c r="P140" s="262">
        <f>F140/1.11*1.0319</f>
        <v>2.36128468468468</v>
      </c>
      <c r="Q140" s="241">
        <f ca="1" t="shared" si="41"/>
        <v>40640</v>
      </c>
      <c r="R140" s="241">
        <f ca="1" t="shared" si="46"/>
        <v>9445.13873873872</v>
      </c>
      <c r="S140" s="262">
        <f ca="1" t="shared" si="47"/>
        <v>-48974.8612612613</v>
      </c>
      <c r="T140" s="257">
        <f ca="1" t="shared" si="48"/>
        <v>-714.861261261278</v>
      </c>
      <c r="U140" s="321"/>
    </row>
    <row r="141" s="146" customFormat="1" customHeight="1" spans="1:21">
      <c r="A141" s="246">
        <f>工程量核对表!A96</f>
        <v>3</v>
      </c>
      <c r="B141" s="292" t="str">
        <f>工程量核对表!B96</f>
        <v>dn32（1.6MPa壁厚3.0）PE管</v>
      </c>
      <c r="C141" s="246" t="str">
        <f>工程量核对表!C96</f>
        <v>m</v>
      </c>
      <c r="D141" s="241">
        <v>6500</v>
      </c>
      <c r="E141" s="241">
        <v>6.7</v>
      </c>
      <c r="F141" s="241">
        <v>1.88</v>
      </c>
      <c r="G141" s="241">
        <f t="shared" si="43"/>
        <v>43550</v>
      </c>
      <c r="H141" s="241">
        <f t="shared" si="44"/>
        <v>12220</v>
      </c>
      <c r="I141" s="256">
        <v>6000</v>
      </c>
      <c r="J141" s="241">
        <v>6.7</v>
      </c>
      <c r="K141" s="241">
        <v>1.88</v>
      </c>
      <c r="L141" s="241">
        <f t="shared" si="45"/>
        <v>40200</v>
      </c>
      <c r="M141" s="241">
        <f>K141*5600</f>
        <v>10528</v>
      </c>
      <c r="N141" s="257">
        <f ca="1">工程量核对表!F96</f>
        <v>5600</v>
      </c>
      <c r="O141" s="262">
        <v>6.7</v>
      </c>
      <c r="P141" s="262">
        <f>F141/1.11*1.0319</f>
        <v>1.74772252252252</v>
      </c>
      <c r="Q141" s="241">
        <f ca="1" t="shared" si="41"/>
        <v>37520</v>
      </c>
      <c r="R141" s="241">
        <f ca="1" t="shared" si="46"/>
        <v>9787.24612612611</v>
      </c>
      <c r="S141" s="262">
        <f ca="1" t="shared" si="47"/>
        <v>-8462.75387387389</v>
      </c>
      <c r="T141" s="257">
        <f ca="1" t="shared" si="48"/>
        <v>-3420.75387387389</v>
      </c>
      <c r="U141" s="321"/>
    </row>
    <row r="142" s="146" customFormat="1" customHeight="1" spans="1:21">
      <c r="A142" s="246">
        <f>工程量核对表!A97</f>
        <v>4</v>
      </c>
      <c r="B142" s="292" t="str">
        <f>工程量核对表!B97</f>
        <v>dn25（1.6MPa壁厚2.3）PE管</v>
      </c>
      <c r="C142" s="246" t="str">
        <f>工程量核对表!C97</f>
        <v>m</v>
      </c>
      <c r="D142" s="241">
        <v>8700</v>
      </c>
      <c r="E142" s="241">
        <v>4.17</v>
      </c>
      <c r="F142" s="241">
        <v>1.33</v>
      </c>
      <c r="G142" s="241">
        <f t="shared" si="43"/>
        <v>36279</v>
      </c>
      <c r="H142" s="241">
        <f t="shared" si="44"/>
        <v>11571</v>
      </c>
      <c r="I142" s="256">
        <v>5600</v>
      </c>
      <c r="J142" s="241">
        <v>4.17</v>
      </c>
      <c r="K142" s="241">
        <v>1.33</v>
      </c>
      <c r="L142" s="241">
        <f t="shared" si="45"/>
        <v>23352</v>
      </c>
      <c r="M142" s="241">
        <f>K142*5400</f>
        <v>7182</v>
      </c>
      <c r="N142" s="257">
        <f ca="1">工程量核对表!F97</f>
        <v>5400</v>
      </c>
      <c r="O142" s="262">
        <v>4.17</v>
      </c>
      <c r="P142" s="262">
        <f>F142/1.11*1.0319</f>
        <v>1.23642072072072</v>
      </c>
      <c r="Q142" s="241">
        <f ca="1" t="shared" si="41"/>
        <v>22518</v>
      </c>
      <c r="R142" s="241">
        <f ca="1" t="shared" si="46"/>
        <v>6676.67189189189</v>
      </c>
      <c r="S142" s="262">
        <f ca="1" t="shared" si="47"/>
        <v>-18655.3281081081</v>
      </c>
      <c r="T142" s="257">
        <f ca="1" t="shared" si="48"/>
        <v>-1339.32810810811</v>
      </c>
      <c r="U142" s="321"/>
    </row>
    <row r="143" s="146" customFormat="1" customHeight="1" spans="1:21">
      <c r="A143" s="246">
        <f>工程量核对表!A98</f>
        <v>5</v>
      </c>
      <c r="B143" s="292" t="str">
        <f>工程量核对表!B98</f>
        <v>dn20（1.6MPa壁厚2.3）PE管</v>
      </c>
      <c r="C143" s="246" t="str">
        <f>工程量核对表!C98</f>
        <v>m</v>
      </c>
      <c r="D143" s="241">
        <v>29300</v>
      </c>
      <c r="E143" s="241">
        <v>3.47</v>
      </c>
      <c r="F143" s="241">
        <v>1.04</v>
      </c>
      <c r="G143" s="241">
        <f t="shared" si="43"/>
        <v>101671</v>
      </c>
      <c r="H143" s="241">
        <f t="shared" si="44"/>
        <v>30472</v>
      </c>
      <c r="I143" s="256">
        <v>17500</v>
      </c>
      <c r="J143" s="241">
        <v>3.47</v>
      </c>
      <c r="K143" s="241">
        <v>1.04</v>
      </c>
      <c r="L143" s="241">
        <f t="shared" si="45"/>
        <v>60725</v>
      </c>
      <c r="M143" s="241">
        <f>K143*17200</f>
        <v>17888</v>
      </c>
      <c r="N143" s="257">
        <f ca="1">工程量核对表!F98</f>
        <v>17200</v>
      </c>
      <c r="O143" s="262">
        <v>3.47</v>
      </c>
      <c r="P143" s="262">
        <f>F143/1.11*1.0319</f>
        <v>0.966825225225225</v>
      </c>
      <c r="Q143" s="241">
        <f ca="1" t="shared" si="41"/>
        <v>59684</v>
      </c>
      <c r="R143" s="241">
        <f ca="1" t="shared" si="46"/>
        <v>16629.3938738739</v>
      </c>
      <c r="S143" s="262">
        <f ca="1" t="shared" si="47"/>
        <v>-55829.6061261261</v>
      </c>
      <c r="T143" s="257">
        <f ca="1" t="shared" si="48"/>
        <v>-2299.60612612613</v>
      </c>
      <c r="U143" s="321"/>
    </row>
    <row r="144" s="146" customFormat="1" customHeight="1" spans="1:21">
      <c r="A144" s="246">
        <f>工程量核对表!A99</f>
        <v>6</v>
      </c>
      <c r="B144" s="292" t="str">
        <f>工程量核对表!B99</f>
        <v>各类管件</v>
      </c>
      <c r="C144" s="246" t="str">
        <f>工程量核对表!C99</f>
        <v>元</v>
      </c>
      <c r="D144" s="241"/>
      <c r="E144" s="241"/>
      <c r="F144" s="241"/>
      <c r="G144" s="241">
        <v>29503.33</v>
      </c>
      <c r="H144" s="241"/>
      <c r="I144" s="256"/>
      <c r="J144" s="256"/>
      <c r="K144" s="256"/>
      <c r="L144" s="241">
        <v>5727.41</v>
      </c>
      <c r="M144" s="241"/>
      <c r="N144" s="257"/>
      <c r="O144" s="256"/>
      <c r="P144" s="256"/>
      <c r="Q144" s="256">
        <v>5727.41</v>
      </c>
      <c r="R144" s="283"/>
      <c r="S144" s="262">
        <f t="shared" si="47"/>
        <v>-23775.92</v>
      </c>
      <c r="T144" s="257">
        <f t="shared" si="48"/>
        <v>0</v>
      </c>
      <c r="U144" s="322"/>
    </row>
    <row r="145" s="137" customFormat="1" customHeight="1" spans="1:21">
      <c r="A145" s="231"/>
      <c r="B145" s="298" t="s">
        <v>72</v>
      </c>
      <c r="C145" s="231"/>
      <c r="D145" s="299">
        <f>13200.38+14440.38*0</f>
        <v>13200.38</v>
      </c>
      <c r="E145" s="300"/>
      <c r="F145" s="300"/>
      <c r="G145" s="300"/>
      <c r="H145" s="301"/>
      <c r="I145" s="315">
        <v>14440.38</v>
      </c>
      <c r="J145" s="316"/>
      <c r="K145" s="316"/>
      <c r="L145" s="316"/>
      <c r="M145" s="301"/>
      <c r="N145" s="315">
        <v>13200</v>
      </c>
      <c r="O145" s="316"/>
      <c r="P145" s="316"/>
      <c r="Q145" s="316"/>
      <c r="R145" s="323"/>
      <c r="S145" s="271">
        <f t="shared" ref="S145:S150" si="49">N145-D145</f>
        <v>-0.3799999999992</v>
      </c>
      <c r="T145" s="253">
        <f t="shared" ref="T145:T150" si="50">N145-I145</f>
        <v>-1240.38</v>
      </c>
      <c r="U145" s="296"/>
    </row>
    <row r="146" s="137" customFormat="1" customHeight="1" spans="1:23">
      <c r="A146" s="302"/>
      <c r="B146" s="204" t="s">
        <v>37</v>
      </c>
      <c r="C146" s="204"/>
      <c r="D146" s="303">
        <f>G6+G123+H123+D145</f>
        <v>864837.634</v>
      </c>
      <c r="E146" s="304"/>
      <c r="F146" s="304"/>
      <c r="G146" s="304"/>
      <c r="H146" s="305"/>
      <c r="I146" s="303">
        <f>L6+L123+M123+I145</f>
        <v>956318.14</v>
      </c>
      <c r="J146" s="304"/>
      <c r="K146" s="304"/>
      <c r="L146" s="304"/>
      <c r="M146" s="317"/>
      <c r="N146" s="303">
        <f ca="1">Q6+Q123+R123+N145</f>
        <v>738504.055962159</v>
      </c>
      <c r="O146" s="304"/>
      <c r="P146" s="304"/>
      <c r="Q146" s="304"/>
      <c r="R146" s="317"/>
      <c r="S146" s="324">
        <f ca="1" t="shared" si="49"/>
        <v>-126333.578037841</v>
      </c>
      <c r="T146" s="294">
        <f ca="1" t="shared" si="50"/>
        <v>-217814.084037841</v>
      </c>
      <c r="U146" s="269"/>
      <c r="W146" s="198"/>
    </row>
    <row r="147" s="137" customFormat="1" customHeight="1" spans="1:21">
      <c r="A147" s="106"/>
      <c r="B147" s="306" t="s">
        <v>38</v>
      </c>
      <c r="C147" s="204"/>
      <c r="D147" s="303">
        <f>G138</f>
        <v>376601.33</v>
      </c>
      <c r="E147" s="304"/>
      <c r="F147" s="304"/>
      <c r="G147" s="304"/>
      <c r="H147" s="305"/>
      <c r="I147" s="303">
        <f>L138</f>
        <v>214604.41</v>
      </c>
      <c r="J147" s="304"/>
      <c r="K147" s="304"/>
      <c r="L147" s="304"/>
      <c r="M147" s="318"/>
      <c r="N147" s="303">
        <f ca="1">Q138</f>
        <v>210049.41</v>
      </c>
      <c r="O147" s="304"/>
      <c r="P147" s="304"/>
      <c r="Q147" s="304"/>
      <c r="R147" s="318"/>
      <c r="S147" s="324">
        <f ca="1" t="shared" si="49"/>
        <v>-166551.92</v>
      </c>
      <c r="T147" s="294">
        <f ca="1" t="shared" si="50"/>
        <v>-4555</v>
      </c>
      <c r="U147" s="320" t="s">
        <v>39</v>
      </c>
    </row>
    <row r="148" s="137" customFormat="1" customHeight="1" spans="1:21">
      <c r="A148" s="106"/>
      <c r="B148" s="306" t="s">
        <v>40</v>
      </c>
      <c r="C148" s="204"/>
      <c r="D148" s="303">
        <f>D145</f>
        <v>13200.38</v>
      </c>
      <c r="E148" s="304"/>
      <c r="F148" s="304"/>
      <c r="G148" s="304"/>
      <c r="H148" s="305"/>
      <c r="I148" s="303">
        <f>I145</f>
        <v>14440.38</v>
      </c>
      <c r="J148" s="304"/>
      <c r="K148" s="304"/>
      <c r="L148" s="304"/>
      <c r="M148" s="318"/>
      <c r="N148" s="303">
        <f>N145</f>
        <v>13200</v>
      </c>
      <c r="O148" s="304"/>
      <c r="P148" s="304"/>
      <c r="Q148" s="304"/>
      <c r="R148" s="318"/>
      <c r="S148" s="324">
        <f t="shared" si="49"/>
        <v>-0.3799999999992</v>
      </c>
      <c r="T148" s="294">
        <f t="shared" si="50"/>
        <v>-1240.38</v>
      </c>
      <c r="U148" s="322"/>
    </row>
    <row r="149" s="137" customFormat="1" customHeight="1" spans="1:21">
      <c r="A149" s="106"/>
      <c r="B149" s="306" t="s">
        <v>73</v>
      </c>
      <c r="C149" s="204"/>
      <c r="D149" s="303">
        <f>(D146-D147-D148)*0.02</f>
        <v>9500.71848</v>
      </c>
      <c r="E149" s="304"/>
      <c r="F149" s="304"/>
      <c r="G149" s="304"/>
      <c r="H149" s="305"/>
      <c r="I149" s="303">
        <f>(I146-I147-I148)*0.02</f>
        <v>14545.467</v>
      </c>
      <c r="J149" s="304"/>
      <c r="K149" s="304"/>
      <c r="L149" s="304"/>
      <c r="M149" s="318"/>
      <c r="N149" s="303">
        <f ca="1">(N146-N147-N148)*0.02</f>
        <v>10305.0929192432</v>
      </c>
      <c r="O149" s="304"/>
      <c r="P149" s="304"/>
      <c r="Q149" s="304"/>
      <c r="R149" s="318"/>
      <c r="S149" s="324">
        <f ca="1" t="shared" si="49"/>
        <v>804.374439243178</v>
      </c>
      <c r="T149" s="294">
        <f ca="1" t="shared" si="50"/>
        <v>-4240.37408075682</v>
      </c>
      <c r="U149" s="269"/>
    </row>
    <row r="150" s="137" customFormat="1" ht="25" customHeight="1" spans="1:23">
      <c r="A150" s="106"/>
      <c r="B150" s="307" t="s">
        <v>42</v>
      </c>
      <c r="C150" s="204"/>
      <c r="D150" s="303">
        <f>D146-(D147+D148+D149)</f>
        <v>465535.20552</v>
      </c>
      <c r="E150" s="304"/>
      <c r="F150" s="304"/>
      <c r="G150" s="304"/>
      <c r="H150" s="305"/>
      <c r="I150" s="303">
        <f>I146-(I147+I148+I149)</f>
        <v>712727.883</v>
      </c>
      <c r="J150" s="304"/>
      <c r="K150" s="304"/>
      <c r="L150" s="304"/>
      <c r="M150" s="318"/>
      <c r="N150" s="303">
        <f ca="1">N146-(N147+N148+N149)</f>
        <v>504949.553042916</v>
      </c>
      <c r="O150" s="304"/>
      <c r="P150" s="304"/>
      <c r="Q150" s="304"/>
      <c r="R150" s="318"/>
      <c r="S150" s="324">
        <f ca="1" t="shared" si="49"/>
        <v>39414.3475229157</v>
      </c>
      <c r="T150" s="294">
        <f ca="1" t="shared" si="50"/>
        <v>-207778.329957084</v>
      </c>
      <c r="U150" s="269"/>
      <c r="V150" s="325">
        <f ca="1">SUM(V7:V149)</f>
        <v>-12995.2957742246</v>
      </c>
      <c r="W150" s="146"/>
    </row>
    <row r="151" customHeight="1" spans="1:20">
      <c r="A151" s="308"/>
      <c r="B151" s="309"/>
      <c r="C151" s="310"/>
      <c r="D151" s="311"/>
      <c r="E151" s="311"/>
      <c r="F151" s="311"/>
      <c r="G151" s="311"/>
      <c r="H151" s="312"/>
      <c r="I151" s="312"/>
      <c r="J151" s="312"/>
      <c r="K151" s="312"/>
      <c r="L151" s="312"/>
      <c r="M151" s="319"/>
      <c r="N151" s="319"/>
      <c r="O151" s="319"/>
      <c r="P151" s="319"/>
      <c r="Q151" s="326"/>
      <c r="R151" s="327"/>
      <c r="S151" s="328"/>
      <c r="T151" s="329"/>
    </row>
    <row r="152" customHeight="1" spans="1:20">
      <c r="A152" s="308"/>
      <c r="B152" s="309"/>
      <c r="C152" s="310"/>
      <c r="D152" s="311"/>
      <c r="E152" s="313"/>
      <c r="F152" s="313"/>
      <c r="G152" s="314"/>
      <c r="H152" s="312"/>
      <c r="I152" s="312"/>
      <c r="J152" s="312"/>
      <c r="K152" s="312"/>
      <c r="L152" s="312"/>
      <c r="M152" s="319"/>
      <c r="N152" s="319"/>
      <c r="O152" s="319"/>
      <c r="P152" s="319"/>
      <c r="Q152" s="326"/>
      <c r="R152" s="327"/>
      <c r="S152" s="328"/>
      <c r="T152" s="329"/>
    </row>
    <row r="153" customHeight="1" spans="1:20">
      <c r="A153" s="308"/>
      <c r="B153" s="309"/>
      <c r="C153" s="310"/>
      <c r="D153" s="311"/>
      <c r="E153" s="311"/>
      <c r="F153" s="311"/>
      <c r="G153" s="311"/>
      <c r="H153" s="312"/>
      <c r="I153" s="312"/>
      <c r="J153" s="312"/>
      <c r="K153" s="312"/>
      <c r="L153" s="312"/>
      <c r="M153" s="319"/>
      <c r="N153" s="319"/>
      <c r="O153" s="319"/>
      <c r="P153" s="319"/>
      <c r="Q153" s="326"/>
      <c r="R153" s="327"/>
      <c r="S153" s="328"/>
      <c r="T153" s="329"/>
    </row>
    <row r="154" customHeight="1" spans="1:20">
      <c r="A154" s="308"/>
      <c r="B154" s="309"/>
      <c r="C154" s="310"/>
      <c r="D154" s="311"/>
      <c r="E154" s="311"/>
      <c r="F154" s="311"/>
      <c r="G154" s="314"/>
      <c r="H154" s="312"/>
      <c r="I154" s="312"/>
      <c r="J154" s="312"/>
      <c r="K154" s="312"/>
      <c r="L154" s="312"/>
      <c r="M154" s="319"/>
      <c r="N154" s="319"/>
      <c r="O154" s="319"/>
      <c r="P154" s="319"/>
      <c r="Q154" s="326"/>
      <c r="R154" s="327"/>
      <c r="S154" s="328"/>
      <c r="T154" s="329"/>
    </row>
    <row r="155" customHeight="1" spans="1:20">
      <c r="A155" s="308"/>
      <c r="B155" s="309"/>
      <c r="C155" s="310"/>
      <c r="D155" s="311"/>
      <c r="E155" s="311"/>
      <c r="F155" s="311"/>
      <c r="G155" s="311"/>
      <c r="H155" s="312"/>
      <c r="I155" s="312"/>
      <c r="J155" s="312"/>
      <c r="K155" s="312"/>
      <c r="L155" s="312"/>
      <c r="M155" s="319"/>
      <c r="N155" s="319"/>
      <c r="O155" s="319"/>
      <c r="P155" s="319"/>
      <c r="Q155" s="326"/>
      <c r="R155" s="327"/>
      <c r="S155" s="328"/>
      <c r="T155" s="329"/>
    </row>
    <row r="156" customHeight="1" spans="1:20">
      <c r="A156" s="308"/>
      <c r="B156" s="309"/>
      <c r="C156" s="310"/>
      <c r="D156" s="311"/>
      <c r="E156" s="311"/>
      <c r="F156" s="311"/>
      <c r="G156" s="311"/>
      <c r="H156" s="312"/>
      <c r="I156" s="312"/>
      <c r="J156" s="312"/>
      <c r="K156" s="312"/>
      <c r="L156" s="312"/>
      <c r="M156" s="319"/>
      <c r="N156" s="319"/>
      <c r="O156" s="319"/>
      <c r="P156" s="319"/>
      <c r="Q156" s="326"/>
      <c r="R156" s="327"/>
      <c r="S156" s="328"/>
      <c r="T156" s="329"/>
    </row>
    <row r="157" customHeight="1" spans="1:20">
      <c r="A157" s="308"/>
      <c r="B157" s="309"/>
      <c r="C157" s="310"/>
      <c r="D157" s="311"/>
      <c r="E157" s="311"/>
      <c r="F157" s="311"/>
      <c r="G157" s="311"/>
      <c r="H157" s="312"/>
      <c r="I157" s="312"/>
      <c r="J157" s="312"/>
      <c r="K157" s="312"/>
      <c r="L157" s="312"/>
      <c r="M157" s="319"/>
      <c r="N157" s="319"/>
      <c r="O157" s="319"/>
      <c r="P157" s="319"/>
      <c r="Q157" s="326"/>
      <c r="R157" s="327"/>
      <c r="S157" s="328"/>
      <c r="T157" s="329"/>
    </row>
    <row r="158" customHeight="1" spans="1:20">
      <c r="A158" s="308"/>
      <c r="B158" s="309"/>
      <c r="C158" s="310"/>
      <c r="D158" s="311"/>
      <c r="E158" s="311"/>
      <c r="F158" s="311"/>
      <c r="G158" s="311"/>
      <c r="H158" s="312"/>
      <c r="I158" s="312"/>
      <c r="J158" s="312"/>
      <c r="K158" s="312"/>
      <c r="L158" s="312"/>
      <c r="M158" s="319"/>
      <c r="N158" s="319"/>
      <c r="O158" s="319"/>
      <c r="P158" s="319"/>
      <c r="Q158" s="326"/>
      <c r="R158" s="327"/>
      <c r="S158" s="328"/>
      <c r="T158" s="329"/>
    </row>
    <row r="159" customHeight="1" spans="1:20">
      <c r="A159" s="308"/>
      <c r="B159" s="309"/>
      <c r="C159" s="310"/>
      <c r="D159" s="311"/>
      <c r="E159" s="311"/>
      <c r="F159" s="311"/>
      <c r="G159" s="311"/>
      <c r="H159" s="312"/>
      <c r="I159" s="312"/>
      <c r="J159" s="312"/>
      <c r="K159" s="312"/>
      <c r="L159" s="312"/>
      <c r="M159" s="319"/>
      <c r="N159" s="319"/>
      <c r="O159" s="319"/>
      <c r="P159" s="319"/>
      <c r="Q159" s="326"/>
      <c r="R159" s="327"/>
      <c r="S159" s="328"/>
      <c r="T159" s="329"/>
    </row>
    <row r="160" customHeight="1" spans="1:20">
      <c r="A160" s="308"/>
      <c r="B160" s="309"/>
      <c r="C160" s="310"/>
      <c r="D160" s="311"/>
      <c r="E160" s="311"/>
      <c r="F160" s="311"/>
      <c r="G160" s="311"/>
      <c r="H160" s="312"/>
      <c r="I160" s="312"/>
      <c r="J160" s="312"/>
      <c r="K160" s="312"/>
      <c r="L160" s="312"/>
      <c r="M160" s="319"/>
      <c r="N160" s="319"/>
      <c r="O160" s="319"/>
      <c r="P160" s="319"/>
      <c r="Q160" s="326"/>
      <c r="R160" s="327"/>
      <c r="S160" s="328"/>
      <c r="T160" s="329"/>
    </row>
    <row r="161" customHeight="1" spans="1:20">
      <c r="A161" s="308"/>
      <c r="B161" s="309"/>
      <c r="C161" s="310"/>
      <c r="D161" s="311"/>
      <c r="E161" s="311"/>
      <c r="F161" s="311"/>
      <c r="G161" s="311"/>
      <c r="H161" s="312"/>
      <c r="I161" s="312"/>
      <c r="J161" s="312"/>
      <c r="K161" s="312"/>
      <c r="L161" s="312"/>
      <c r="M161" s="319"/>
      <c r="N161" s="319"/>
      <c r="O161" s="319"/>
      <c r="P161" s="319"/>
      <c r="Q161" s="326"/>
      <c r="R161" s="327"/>
      <c r="S161" s="328"/>
      <c r="T161" s="329"/>
    </row>
    <row r="162" customHeight="1" spans="1:20">
      <c r="A162" s="308"/>
      <c r="B162" s="309"/>
      <c r="C162" s="310"/>
      <c r="D162" s="311"/>
      <c r="E162" s="311"/>
      <c r="F162" s="311"/>
      <c r="G162" s="311"/>
      <c r="H162" s="312"/>
      <c r="I162" s="312"/>
      <c r="J162" s="312"/>
      <c r="K162" s="312"/>
      <c r="L162" s="312"/>
      <c r="M162" s="319"/>
      <c r="N162" s="319"/>
      <c r="O162" s="319"/>
      <c r="P162" s="319"/>
      <c r="Q162" s="326"/>
      <c r="R162" s="327"/>
      <c r="S162" s="328"/>
      <c r="T162" s="329"/>
    </row>
  </sheetData>
  <autoFilter ref="A3:B150">
    <extLst/>
  </autoFilter>
  <mergeCells count="41">
    <mergeCell ref="A1:U1"/>
    <mergeCell ref="A2:U2"/>
    <mergeCell ref="D3:H3"/>
    <mergeCell ref="I3:M3"/>
    <mergeCell ref="N3:R3"/>
    <mergeCell ref="S3:T3"/>
    <mergeCell ref="E4:F4"/>
    <mergeCell ref="G4:H4"/>
    <mergeCell ref="J4:K4"/>
    <mergeCell ref="L4:M4"/>
    <mergeCell ref="O4:P4"/>
    <mergeCell ref="Q4:R4"/>
    <mergeCell ref="D145:G145"/>
    <mergeCell ref="I145:L145"/>
    <mergeCell ref="N145:Q145"/>
    <mergeCell ref="D146:G146"/>
    <mergeCell ref="I146:L146"/>
    <mergeCell ref="N146:Q146"/>
    <mergeCell ref="D147:G147"/>
    <mergeCell ref="I147:L147"/>
    <mergeCell ref="N147:Q147"/>
    <mergeCell ref="D148:G148"/>
    <mergeCell ref="I148:L148"/>
    <mergeCell ref="N148:Q148"/>
    <mergeCell ref="D149:G149"/>
    <mergeCell ref="I149:L149"/>
    <mergeCell ref="N149:Q149"/>
    <mergeCell ref="D150:G150"/>
    <mergeCell ref="I150:L150"/>
    <mergeCell ref="N150:Q150"/>
    <mergeCell ref="A3:A5"/>
    <mergeCell ref="B3:B5"/>
    <mergeCell ref="C3:C5"/>
    <mergeCell ref="D4:D5"/>
    <mergeCell ref="I4:I5"/>
    <mergeCell ref="N4:N5"/>
    <mergeCell ref="S4:S5"/>
    <mergeCell ref="T4:T5"/>
    <mergeCell ref="U3:U5"/>
    <mergeCell ref="U139:U144"/>
    <mergeCell ref="U147:U148"/>
  </mergeCells>
  <pageMargins left="0.629861111111111" right="0.393055555555556" top="0.550694444444444" bottom="0.511805555555556" header="0.314583333333333" footer="0.314583333333333"/>
  <pageSetup paperSize="9" scale="66" fitToHeight="0" orientation="landscape" horizontalDpi="600"/>
  <headerFooter>
    <oddHeader>&amp;R&amp;10
</oddHeader>
    <oddFooter>&amp;C&amp;"楷体"第 &amp;P 页，共 &amp;N 页</oddFooter>
  </headerFooter>
  <colBreaks count="1" manualBreakCount="1">
    <brk id="21" max="1048575" man="1"/>
  </colBreaks>
  <ignoredErrors>
    <ignoredError sqref="G134" formula="1"/>
    <ignoredError sqref="N22 N21 N20 N19 N18 N13 N12 N11 D146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9"/>
  <sheetViews>
    <sheetView workbookViewId="0">
      <pane ySplit="4" topLeftCell="A86" activePane="bottomLeft" state="frozen"/>
      <selection/>
      <selection pane="bottomLeft" activeCell="H96" sqref="H96:H98"/>
    </sheetView>
  </sheetViews>
  <sheetFormatPr defaultColWidth="9" defaultRowHeight="14.25"/>
  <cols>
    <col min="1" max="1" width="7.125" style="137" customWidth="1"/>
    <col min="2" max="2" width="34.375" style="139" customWidth="1"/>
    <col min="3" max="3" width="5.775" style="137" customWidth="1"/>
    <col min="4" max="4" width="8.775" style="140" customWidth="1"/>
    <col min="5" max="5" width="8.775" style="141" customWidth="1"/>
    <col min="6" max="6" width="8.775" style="142" customWidth="1"/>
    <col min="7" max="8" width="9.55833333333333" style="143" customWidth="1"/>
    <col min="9" max="9" width="9.875" style="144" customWidth="1"/>
    <col min="10" max="10" width="13.75" style="145" customWidth="1"/>
    <col min="11" max="11" width="12.125" style="145" customWidth="1"/>
    <col min="12" max="12" width="11.25" style="146" customWidth="1"/>
    <col min="13" max="16384" width="9" style="146"/>
  </cols>
  <sheetData>
    <row r="1" s="133" customFormat="1" ht="48" customHeight="1" spans="1:11">
      <c r="A1" s="147" t="s">
        <v>74</v>
      </c>
      <c r="B1" s="148"/>
      <c r="C1" s="148"/>
      <c r="D1" s="97"/>
      <c r="E1" s="149"/>
      <c r="F1" s="150"/>
      <c r="G1" s="97"/>
      <c r="H1" s="97"/>
      <c r="I1" s="190"/>
      <c r="J1" s="191"/>
      <c r="K1" s="191"/>
    </row>
    <row r="2" s="134" customFormat="1" ht="17" customHeight="1" spans="1:11">
      <c r="A2" s="99" t="s">
        <v>75</v>
      </c>
      <c r="B2" s="99"/>
      <c r="C2" s="99"/>
      <c r="D2" s="100"/>
      <c r="E2" s="100"/>
      <c r="F2" s="100"/>
      <c r="G2" s="100"/>
      <c r="H2" s="100"/>
      <c r="I2" s="100"/>
      <c r="J2" s="191"/>
      <c r="K2" s="191"/>
    </row>
    <row r="3" s="134" customFormat="1" ht="17" customHeight="1" spans="1:11">
      <c r="A3" s="151" t="s">
        <v>44</v>
      </c>
      <c r="B3" s="152" t="s">
        <v>24</v>
      </c>
      <c r="C3" s="152" t="s">
        <v>25</v>
      </c>
      <c r="D3" s="102" t="s">
        <v>76</v>
      </c>
      <c r="E3" s="153" t="s">
        <v>77</v>
      </c>
      <c r="F3" s="104" t="s">
        <v>78</v>
      </c>
      <c r="G3" s="154" t="s">
        <v>79</v>
      </c>
      <c r="H3" s="154"/>
      <c r="I3" s="192" t="s">
        <v>48</v>
      </c>
      <c r="J3" s="191"/>
      <c r="K3" s="191"/>
    </row>
    <row r="4" s="134" customFormat="1" ht="18" customHeight="1" spans="1:11">
      <c r="A4" s="155"/>
      <c r="B4" s="156"/>
      <c r="C4" s="156"/>
      <c r="D4" s="102"/>
      <c r="E4" s="153"/>
      <c r="F4" s="104"/>
      <c r="G4" s="157" t="s">
        <v>80</v>
      </c>
      <c r="H4" s="157" t="s">
        <v>81</v>
      </c>
      <c r="I4" s="192"/>
      <c r="J4" s="191"/>
      <c r="K4" s="191"/>
    </row>
    <row r="5" s="135" customFormat="1" ht="18" customHeight="1" spans="1:11">
      <c r="A5" s="158"/>
      <c r="B5" s="106" t="s">
        <v>54</v>
      </c>
      <c r="C5" s="159"/>
      <c r="D5" s="160"/>
      <c r="E5" s="161"/>
      <c r="F5" s="162"/>
      <c r="G5" s="163"/>
      <c r="H5" s="163"/>
      <c r="I5" s="193"/>
      <c r="J5" s="194"/>
      <c r="K5" s="194"/>
    </row>
    <row r="6" s="136" customFormat="1" ht="16.5" customHeight="1" spans="1:11">
      <c r="A6" s="164" t="str">
        <f>工程量计算稿!A5</f>
        <v>一</v>
      </c>
      <c r="B6" s="165" t="str">
        <f>工程量计算稿!B5</f>
        <v>取水工程</v>
      </c>
      <c r="C6" s="166"/>
      <c r="D6" s="167"/>
      <c r="E6" s="168"/>
      <c r="F6" s="169"/>
      <c r="G6" s="170"/>
      <c r="H6" s="170"/>
      <c r="I6" s="195"/>
      <c r="J6" s="196"/>
      <c r="K6" s="196"/>
    </row>
    <row r="7" s="137" customFormat="1" ht="16.5" customHeight="1" spans="1:12">
      <c r="A7" s="164" t="str">
        <f>工程量计算稿!A6</f>
        <v>二</v>
      </c>
      <c r="B7" s="165" t="str">
        <f>工程量计算稿!B6</f>
        <v>输水工程</v>
      </c>
      <c r="C7" s="171"/>
      <c r="D7" s="172"/>
      <c r="E7" s="173"/>
      <c r="F7" s="174"/>
      <c r="G7" s="175"/>
      <c r="H7" s="175"/>
      <c r="I7" s="197"/>
      <c r="J7" s="145"/>
      <c r="K7" s="145"/>
      <c r="L7" s="198"/>
    </row>
    <row r="8" s="137" customFormat="1" ht="16.5" customHeight="1" spans="1:11">
      <c r="A8" s="176" t="str">
        <f>工程量计算稿!A7</f>
        <v>（一）</v>
      </c>
      <c r="B8" s="177" t="str">
        <f>工程量计算稿!B7</f>
        <v>管道开挖埋设</v>
      </c>
      <c r="C8" s="178"/>
      <c r="D8" s="179"/>
      <c r="E8" s="180"/>
      <c r="F8" s="181"/>
      <c r="G8" s="182"/>
      <c r="H8" s="182"/>
      <c r="I8" s="199" t="s">
        <v>69</v>
      </c>
      <c r="J8" s="145"/>
      <c r="K8" s="145"/>
    </row>
    <row r="9" s="138" customFormat="1" ht="16.5" customHeight="1" spans="1:12">
      <c r="A9" s="183">
        <f>工程量计算稿!A8</f>
        <v>1</v>
      </c>
      <c r="B9" s="184" t="str">
        <f>工程量计算稿!B8</f>
        <v>土方开挖</v>
      </c>
      <c r="C9" s="178" t="str">
        <f>工程量计算稿!C8</f>
        <v>m3</v>
      </c>
      <c r="D9" s="179">
        <f>结算审核明细表!D10</f>
        <v>60</v>
      </c>
      <c r="E9" s="180">
        <f>结算审核明细表!I10</f>
        <v>235.2</v>
      </c>
      <c r="F9" s="181">
        <f ca="1">工程量计算稿!E8</f>
        <v>0</v>
      </c>
      <c r="G9" s="182">
        <f ca="1" t="shared" ref="G8:G23" si="0">F9-D9</f>
        <v>-60</v>
      </c>
      <c r="H9" s="185">
        <f ca="1" t="shared" ref="H8:H23" si="1">F9-E9</f>
        <v>-235.2</v>
      </c>
      <c r="I9" s="200"/>
      <c r="J9" s="201">
        <f ca="1">G9+G15+G25+G39+G59+G73</f>
        <v>-27.08194817</v>
      </c>
      <c r="K9" s="201">
        <f ca="1">H9+H15+H25+H39+H59+H73</f>
        <v>-893.60194817</v>
      </c>
      <c r="L9" s="137"/>
    </row>
    <row r="10" s="137" customFormat="1" ht="16.5" customHeight="1" spans="1:11">
      <c r="A10" s="183">
        <f>工程量计算稿!A9</f>
        <v>2</v>
      </c>
      <c r="B10" s="184" t="str">
        <f>工程量计算稿!B9</f>
        <v>石方开挖</v>
      </c>
      <c r="C10" s="178" t="str">
        <f>工程量计算稿!C9</f>
        <v>m3</v>
      </c>
      <c r="D10" s="179">
        <f>结算审核明细表!D11</f>
        <v>60</v>
      </c>
      <c r="E10" s="180">
        <f>结算审核明细表!I11</f>
        <v>100.8</v>
      </c>
      <c r="F10" s="181">
        <f ca="1">工程量计算稿!E9</f>
        <v>0</v>
      </c>
      <c r="G10" s="182">
        <f ca="1" t="shared" si="0"/>
        <v>-60</v>
      </c>
      <c r="H10" s="185">
        <f ca="1" t="shared" si="1"/>
        <v>-100.8</v>
      </c>
      <c r="I10" s="200"/>
      <c r="J10" s="201">
        <f ca="1">G10+G16+G26+G40+G60+G74</f>
        <v>-232.96083493</v>
      </c>
      <c r="K10" s="201">
        <f ca="1">H10+H16+H26+H40+H60+H74</f>
        <v>-382.97083493</v>
      </c>
    </row>
    <row r="11" s="137" customFormat="1" ht="16.5" customHeight="1" spans="1:11">
      <c r="A11" s="183">
        <f>工程量计算稿!A10</f>
        <v>3</v>
      </c>
      <c r="B11" s="184" t="str">
        <f>工程量计算稿!B10</f>
        <v>土方回填</v>
      </c>
      <c r="C11" s="178" t="str">
        <f>工程量计算稿!C10</f>
        <v>m3</v>
      </c>
      <c r="D11" s="179">
        <f>结算审核明细表!D12</f>
        <v>70</v>
      </c>
      <c r="E11" s="180">
        <f>结算审核明细表!I12</f>
        <v>307.97</v>
      </c>
      <c r="F11" s="181">
        <f ca="1">工程量计算稿!E10</f>
        <v>0</v>
      </c>
      <c r="G11" s="182">
        <f ca="1" t="shared" si="0"/>
        <v>-70</v>
      </c>
      <c r="H11" s="185">
        <f ca="1" t="shared" si="1"/>
        <v>-307.97</v>
      </c>
      <c r="I11" s="200"/>
      <c r="J11" s="201">
        <f ca="1">G11+G17+G27+G28+G41+G42+G61+G75</f>
        <v>-137.8949219</v>
      </c>
      <c r="K11" s="201">
        <f ca="1">H11+H17+H27+H28+H41+H42+H61+H75</f>
        <v>-1142.5949219</v>
      </c>
    </row>
    <row r="12" s="137" customFormat="1" ht="16.5" customHeight="1" spans="1:12">
      <c r="A12" s="176" t="str">
        <f>工程量计算稿!A11</f>
        <v>（二）</v>
      </c>
      <c r="B12" s="177" t="str">
        <f>工程量计算稿!B11</f>
        <v>C20砼镇支墩</v>
      </c>
      <c r="C12" s="178" t="str">
        <f>工程量计算稿!C11</f>
        <v>个</v>
      </c>
      <c r="D12" s="179">
        <f>结算审核明细表!D13</f>
        <v>2</v>
      </c>
      <c r="E12" s="180">
        <f>结算审核明细表!I13</f>
        <v>2</v>
      </c>
      <c r="F12" s="181">
        <f ca="1">工程量计算稿!E11</f>
        <v>2</v>
      </c>
      <c r="G12" s="182">
        <f ca="1" t="shared" si="0"/>
        <v>0</v>
      </c>
      <c r="H12" s="182">
        <f ca="1" t="shared" si="1"/>
        <v>0</v>
      </c>
      <c r="I12" s="200"/>
      <c r="J12" s="145"/>
      <c r="K12" s="145"/>
      <c r="L12" s="198"/>
    </row>
    <row r="13" s="137" customFormat="1" ht="16.5" customHeight="1" spans="1:11">
      <c r="A13" s="164" t="str">
        <f>工程量计算稿!A12</f>
        <v>三</v>
      </c>
      <c r="B13" s="165" t="str">
        <f>工程量计算稿!B12</f>
        <v>水厂工程</v>
      </c>
      <c r="C13" s="171"/>
      <c r="D13" s="172"/>
      <c r="E13" s="173"/>
      <c r="F13" s="174"/>
      <c r="G13" s="175"/>
      <c r="H13" s="175"/>
      <c r="I13" s="197"/>
      <c r="J13" s="145"/>
      <c r="K13" s="145"/>
    </row>
    <row r="14" s="137" customFormat="1" ht="16.5" customHeight="1" spans="1:11">
      <c r="A14" s="176" t="str">
        <f>工程量计算稿!A13</f>
        <v>（一）</v>
      </c>
      <c r="B14" s="177" t="str">
        <f>工程量计算稿!B13</f>
        <v>闸阀井</v>
      </c>
      <c r="C14" s="178" t="str">
        <f>工程量计算稿!C13</f>
        <v>座</v>
      </c>
      <c r="D14" s="179"/>
      <c r="E14" s="180"/>
      <c r="F14" s="181"/>
      <c r="G14" s="182"/>
      <c r="H14" s="182"/>
      <c r="I14" s="200"/>
      <c r="J14" s="145"/>
      <c r="K14" s="145"/>
    </row>
    <row r="15" s="137" customFormat="1" ht="16.5" customHeight="1" spans="1:11">
      <c r="A15" s="183">
        <f>工程量计算稿!A14</f>
        <v>1</v>
      </c>
      <c r="B15" s="184" t="str">
        <f>工程量计算稿!B14</f>
        <v>土方开挖</v>
      </c>
      <c r="C15" s="178" t="str">
        <f>工程量计算稿!C14</f>
        <v>m3</v>
      </c>
      <c r="D15" s="179">
        <f>结算审核明细表!D16</f>
        <v>3.06</v>
      </c>
      <c r="E15" s="180">
        <f>结算审核明细表!I16</f>
        <v>0</v>
      </c>
      <c r="F15" s="181">
        <f ca="1">工程量计算稿!E14</f>
        <v>0</v>
      </c>
      <c r="G15" s="182">
        <f ca="1" t="shared" si="0"/>
        <v>-3.06</v>
      </c>
      <c r="H15" s="185">
        <f ca="1" t="shared" si="1"/>
        <v>0</v>
      </c>
      <c r="I15" s="200"/>
      <c r="J15" s="145"/>
      <c r="K15" s="145"/>
    </row>
    <row r="16" s="137" customFormat="1" ht="16.5" customHeight="1" spans="1:11">
      <c r="A16" s="183">
        <f>工程量计算稿!A15</f>
        <v>2</v>
      </c>
      <c r="B16" s="184" t="str">
        <f>工程量计算稿!B15</f>
        <v>石方开挖</v>
      </c>
      <c r="C16" s="178" t="str">
        <f>工程量计算稿!C15</f>
        <v>m3</v>
      </c>
      <c r="D16" s="179">
        <f>结算审核明细表!D17</f>
        <v>2.12</v>
      </c>
      <c r="E16" s="180">
        <f>结算审核明细表!I17</f>
        <v>0</v>
      </c>
      <c r="F16" s="181">
        <f ca="1">工程量计算稿!E15</f>
        <v>0</v>
      </c>
      <c r="G16" s="182">
        <f ca="1" t="shared" si="0"/>
        <v>-2.12</v>
      </c>
      <c r="H16" s="185">
        <f ca="1" t="shared" si="1"/>
        <v>0</v>
      </c>
      <c r="I16" s="200"/>
      <c r="J16" s="145"/>
      <c r="K16" s="145"/>
    </row>
    <row r="17" s="137" customFormat="1" ht="16.5" customHeight="1" spans="1:11">
      <c r="A17" s="183">
        <f>工程量计算稿!A16</f>
        <v>3</v>
      </c>
      <c r="B17" s="184" t="str">
        <f>工程量计算稿!B16</f>
        <v>土方回填</v>
      </c>
      <c r="C17" s="178" t="str">
        <f>工程量计算稿!C16</f>
        <v>m3</v>
      </c>
      <c r="D17" s="179">
        <f>结算审核明细表!D18</f>
        <v>0.84</v>
      </c>
      <c r="E17" s="180">
        <f>结算审核明细表!I18</f>
        <v>0</v>
      </c>
      <c r="F17" s="181">
        <f ca="1">工程量计算稿!E16</f>
        <v>0</v>
      </c>
      <c r="G17" s="182">
        <f ca="1" t="shared" si="0"/>
        <v>-0.84</v>
      </c>
      <c r="H17" s="185">
        <f ca="1" t="shared" si="1"/>
        <v>0</v>
      </c>
      <c r="I17" s="200"/>
      <c r="J17" s="145"/>
      <c r="K17" s="145"/>
    </row>
    <row r="18" s="137" customFormat="1" ht="16.5" customHeight="1" spans="1:11">
      <c r="A18" s="183">
        <f>工程量计算稿!A17</f>
        <v>4</v>
      </c>
      <c r="B18" s="184" t="str">
        <f>工程量计算稿!B17</f>
        <v>M7.5浆砌页岩砖</v>
      </c>
      <c r="C18" s="178" t="str">
        <f>工程量计算稿!C17</f>
        <v>m3</v>
      </c>
      <c r="D18" s="179">
        <f>结算审核明细表!D19</f>
        <v>1.9</v>
      </c>
      <c r="E18" s="180">
        <f>结算审核明细表!I19</f>
        <v>2.74</v>
      </c>
      <c r="F18" s="181">
        <f ca="1">工程量计算稿!E17</f>
        <v>2.01216</v>
      </c>
      <c r="G18" s="182">
        <f ca="1" t="shared" si="0"/>
        <v>0.11216</v>
      </c>
      <c r="H18" s="185">
        <f ca="1" t="shared" si="1"/>
        <v>-0.72784</v>
      </c>
      <c r="I18" s="202"/>
      <c r="J18" s="201">
        <f ca="1">G18+G34+G48+G62</f>
        <v>-15.99560545</v>
      </c>
      <c r="K18" s="201">
        <f ca="1">H18+H34+H48+H62</f>
        <v>-7.48560544999999</v>
      </c>
    </row>
    <row r="19" s="137" customFormat="1" ht="16.5" customHeight="1" spans="1:11">
      <c r="A19" s="183">
        <f>工程量计算稿!A20</f>
        <v>5</v>
      </c>
      <c r="B19" s="184" t="str">
        <f>工程量计算稿!B20</f>
        <v>预制盖板C20砼</v>
      </c>
      <c r="C19" s="178" t="str">
        <f>工程量计算稿!C20</f>
        <v>m3</v>
      </c>
      <c r="D19" s="179">
        <f>结算审核明细表!D20</f>
        <v>0.32</v>
      </c>
      <c r="E19" s="180">
        <f>结算审核明细表!I20</f>
        <v>0.26</v>
      </c>
      <c r="F19" s="181">
        <f ca="1">工程量计算稿!E20</f>
        <v>0.15022</v>
      </c>
      <c r="G19" s="182">
        <f ca="1" t="shared" si="0"/>
        <v>-0.16978</v>
      </c>
      <c r="H19" s="185">
        <f ca="1" t="shared" si="1"/>
        <v>-0.10978</v>
      </c>
      <c r="I19" s="199"/>
      <c r="J19" s="201">
        <f ca="1">G19+G23+G54</f>
        <v>8.2567208</v>
      </c>
      <c r="K19" s="201">
        <f ca="1">H19+H23+H54</f>
        <v>4.0467208</v>
      </c>
    </row>
    <row r="20" s="137" customFormat="1" ht="16.5" customHeight="1" spans="1:11">
      <c r="A20" s="183">
        <f>工程量计算稿!A23</f>
        <v>6</v>
      </c>
      <c r="B20" s="184" t="str">
        <f>工程量计算稿!B23</f>
        <v>盖板钢筋制安</v>
      </c>
      <c r="C20" s="178" t="str">
        <f>工程量计算稿!C23</f>
        <v>t</v>
      </c>
      <c r="D20" s="179">
        <f>结算审核明细表!D21</f>
        <v>0.0054</v>
      </c>
      <c r="E20" s="180">
        <f>结算审核明细表!I21</f>
        <v>0.09</v>
      </c>
      <c r="F20" s="186">
        <f ca="1">工程量计算稿!E23</f>
        <v>0.0398002</v>
      </c>
      <c r="G20" s="182">
        <f ca="1" t="shared" si="0"/>
        <v>0.0344002</v>
      </c>
      <c r="H20" s="185">
        <f ca="1" t="shared" si="1"/>
        <v>-0.0501998</v>
      </c>
      <c r="I20" s="200"/>
      <c r="J20" s="201">
        <f ca="1">G20+G31+G45+G64</f>
        <v>0.88042208</v>
      </c>
      <c r="K20" s="201">
        <f ca="1">H20+H31+H45+H64</f>
        <v>-0.74617792</v>
      </c>
    </row>
    <row r="21" s="137" customFormat="1" ht="16.5" customHeight="1" spans="1:12">
      <c r="A21" s="183">
        <f>工程量计算稿!A26</f>
        <v>7</v>
      </c>
      <c r="B21" s="184" t="str">
        <f>工程量计算稿!B26</f>
        <v>M10砂浆抹面</v>
      </c>
      <c r="C21" s="178" t="str">
        <f>工程量计算稿!C26</f>
        <v>m2</v>
      </c>
      <c r="D21" s="179">
        <f>结算审核明细表!D22</f>
        <v>15.76</v>
      </c>
      <c r="E21" s="180">
        <f>结算审核明细表!I22</f>
        <v>22.78</v>
      </c>
      <c r="F21" s="181">
        <f ca="1">工程量计算稿!E26</f>
        <v>18.8224</v>
      </c>
      <c r="G21" s="182">
        <f ca="1" t="shared" si="0"/>
        <v>3.0624</v>
      </c>
      <c r="H21" s="185">
        <f ca="1" t="shared" si="1"/>
        <v>-3.9576</v>
      </c>
      <c r="I21" s="200"/>
      <c r="J21" s="201">
        <f ca="1">G21+G32+G46+G66</f>
        <v>-412.018952</v>
      </c>
      <c r="K21" s="201">
        <f ca="1">H21+H32+H46+H66</f>
        <v>-182.348952</v>
      </c>
      <c r="L21" s="198"/>
    </row>
    <row r="22" s="137" customFormat="1" ht="19" customHeight="1" spans="1:11">
      <c r="A22" s="183">
        <f>工程量计算稿!A29</f>
        <v>8</v>
      </c>
      <c r="B22" s="184" t="str">
        <f>工程量计算稿!B29</f>
        <v>人力二次转运材料（500元/t/km，运距0.2km）</v>
      </c>
      <c r="C22" s="178" t="str">
        <f>工程量计算稿!C29</f>
        <v>t</v>
      </c>
      <c r="D22" s="179">
        <f>结算审核明细表!D23</f>
        <v>6</v>
      </c>
      <c r="E22" s="180">
        <f>结算审核明细表!I23</f>
        <v>8.6</v>
      </c>
      <c r="F22" s="181"/>
      <c r="G22" s="182"/>
      <c r="H22" s="182"/>
      <c r="I22" s="203" t="s">
        <v>82</v>
      </c>
      <c r="J22" s="145"/>
      <c r="K22" s="145"/>
    </row>
    <row r="23" s="137" customFormat="1" ht="16.5" customHeight="1" spans="1:11">
      <c r="A23" s="183">
        <f>工程量计算稿!A30</f>
        <v>9</v>
      </c>
      <c r="B23" s="184" t="str">
        <f>工程量计算稿!B30</f>
        <v>C20现浇砼底板</v>
      </c>
      <c r="C23" s="178" t="str">
        <f>工程量计算稿!C30</f>
        <v>m3</v>
      </c>
      <c r="D23" s="179">
        <f>结算审核明细表!D36</f>
        <v>0</v>
      </c>
      <c r="E23" s="180">
        <f>结算审核明细表!I36</f>
        <v>0.54</v>
      </c>
      <c r="F23" s="181">
        <f ca="1">工程量计算稿!E30</f>
        <v>0.37555</v>
      </c>
      <c r="G23" s="182">
        <f ca="1" t="shared" si="0"/>
        <v>0.37555</v>
      </c>
      <c r="H23" s="185">
        <f ca="1" t="shared" si="1"/>
        <v>-0.16445</v>
      </c>
      <c r="I23" s="200"/>
      <c r="J23" s="145"/>
      <c r="K23" s="145"/>
    </row>
    <row r="24" s="137" customFormat="1" ht="16.5" customHeight="1" spans="1:11">
      <c r="A24" s="176" t="str">
        <f>工程量计算稿!A33</f>
        <v>（二）</v>
      </c>
      <c r="B24" s="177" t="str">
        <f>工程量计算稿!B33</f>
        <v>新建50方清水池</v>
      </c>
      <c r="C24" s="178" t="str">
        <f>工程量计算稿!C33</f>
        <v>座</v>
      </c>
      <c r="D24" s="179"/>
      <c r="E24" s="180"/>
      <c r="F24" s="181"/>
      <c r="G24" s="182"/>
      <c r="H24" s="182"/>
      <c r="I24" s="199"/>
      <c r="J24" s="145"/>
      <c r="K24" s="145"/>
    </row>
    <row r="25" s="137" customFormat="1" ht="16.5" customHeight="1" spans="1:11">
      <c r="A25" s="183">
        <f>工程量计算稿!A34</f>
        <v>1</v>
      </c>
      <c r="B25" s="184" t="str">
        <f>工程量计算稿!B34</f>
        <v>土方开挖</v>
      </c>
      <c r="C25" s="178" t="str">
        <f>工程量计算稿!C34</f>
        <v>m3</v>
      </c>
      <c r="D25" s="179">
        <f>结算审核明细表!D38</f>
        <v>17.7</v>
      </c>
      <c r="E25" s="180">
        <f>结算审核明细表!I38</f>
        <v>90.06</v>
      </c>
      <c r="F25" s="181">
        <f ca="1">工程量计算稿!E34</f>
        <v>60.46388082</v>
      </c>
      <c r="G25" s="182">
        <f ca="1" t="shared" ref="G24:G50" si="2">F25-D25</f>
        <v>42.76388082</v>
      </c>
      <c r="H25" s="185">
        <f ca="1" t="shared" ref="H24:H50" si="3">F25-E25</f>
        <v>-29.59611918</v>
      </c>
      <c r="I25" s="199"/>
      <c r="J25" s="145"/>
      <c r="K25" s="145"/>
    </row>
    <row r="26" ht="16.5" customHeight="1" spans="1:9">
      <c r="A26" s="183">
        <f>工程量计算稿!A35</f>
        <v>2</v>
      </c>
      <c r="B26" s="184" t="str">
        <f>工程量计算稿!B35</f>
        <v>石方开挖</v>
      </c>
      <c r="C26" s="178" t="str">
        <f>工程量计算稿!C35</f>
        <v>m3</v>
      </c>
      <c r="D26" s="179">
        <f>结算审核明细表!D39</f>
        <v>70.81</v>
      </c>
      <c r="E26" s="180">
        <f>结算审核明细表!I39</f>
        <v>38.6</v>
      </c>
      <c r="F26" s="181">
        <f ca="1">工程量计算稿!E35</f>
        <v>25.91309178</v>
      </c>
      <c r="G26" s="182">
        <f ca="1" t="shared" si="2"/>
        <v>-44.89690822</v>
      </c>
      <c r="H26" s="185">
        <f ca="1" t="shared" si="3"/>
        <v>-12.68690822</v>
      </c>
      <c r="I26" s="199"/>
    </row>
    <row r="27" ht="16.5" customHeight="1" spans="1:9">
      <c r="A27" s="183">
        <f>工程量计算稿!A36</f>
        <v>3</v>
      </c>
      <c r="B27" s="184" t="str">
        <f>工程量计算稿!B36</f>
        <v>土方回填</v>
      </c>
      <c r="C27" s="178" t="str">
        <f>工程量计算稿!C36</f>
        <v>m3</v>
      </c>
      <c r="D27" s="179">
        <f>结算审核明细表!D40</f>
        <v>26.55</v>
      </c>
      <c r="E27" s="180">
        <f>结算审核明细表!I40</f>
        <v>54.02</v>
      </c>
      <c r="F27" s="181">
        <f ca="1">工程量计算稿!E36</f>
        <v>17.299359</v>
      </c>
      <c r="G27" s="182">
        <f ca="1" t="shared" si="2"/>
        <v>-9.25064100000001</v>
      </c>
      <c r="H27" s="185">
        <f ca="1" t="shared" si="3"/>
        <v>-36.720641</v>
      </c>
      <c r="I27" s="199"/>
    </row>
    <row r="28" ht="16.5" customHeight="1" spans="1:9">
      <c r="A28" s="183">
        <f>工程量计算稿!A37</f>
        <v>4</v>
      </c>
      <c r="B28" s="184" t="str">
        <f>工程量计算稿!B37</f>
        <v>30cm厚覆土</v>
      </c>
      <c r="C28" s="178" t="str">
        <f>工程量计算稿!C37</f>
        <v>m3</v>
      </c>
      <c r="D28" s="179">
        <f>结算审核明细表!D41</f>
        <v>5.89</v>
      </c>
      <c r="E28" s="180">
        <f>结算审核明细表!I41</f>
        <v>6.17</v>
      </c>
      <c r="F28" s="181">
        <f ca="1">工程量计算稿!E37</f>
        <v>6.4662648</v>
      </c>
      <c r="G28" s="182">
        <f ca="1" t="shared" si="2"/>
        <v>0.576264800000001</v>
      </c>
      <c r="H28" s="185">
        <f ca="1" t="shared" si="3"/>
        <v>0.296264800000001</v>
      </c>
      <c r="I28" s="199"/>
    </row>
    <row r="29" ht="16.5" customHeight="1" spans="1:11">
      <c r="A29" s="183">
        <f>工程量计算稿!A38</f>
        <v>5</v>
      </c>
      <c r="B29" s="184" t="str">
        <f>工程量计算稿!B38</f>
        <v>C25混凝土浇筑</v>
      </c>
      <c r="C29" s="178" t="str">
        <f>工程量计算稿!C38</f>
        <v>m3</v>
      </c>
      <c r="D29" s="179">
        <f>结算审核明细表!D42</f>
        <v>9.68</v>
      </c>
      <c r="E29" s="180">
        <f>结算审核明细表!I42</f>
        <v>11.65</v>
      </c>
      <c r="F29" s="181">
        <f ca="1">工程量计算稿!E38</f>
        <v>9.2961303</v>
      </c>
      <c r="G29" s="182">
        <f ca="1" t="shared" si="2"/>
        <v>-0.3838697</v>
      </c>
      <c r="H29" s="185">
        <f ca="1" t="shared" si="3"/>
        <v>-2.3538697</v>
      </c>
      <c r="I29" s="199"/>
      <c r="J29" s="201">
        <f ca="1">G29+G43+G63+G77</f>
        <v>-6.5821169</v>
      </c>
      <c r="K29" s="201">
        <f ca="1">H29+H43+H63+H77</f>
        <v>-22.8121169</v>
      </c>
    </row>
    <row r="30" ht="16.5" customHeight="1" spans="1:11">
      <c r="A30" s="183">
        <f>工程量计算稿!A39</f>
        <v>6</v>
      </c>
      <c r="B30" s="184" t="str">
        <f>工程量计算稿!B39</f>
        <v>模板制安</v>
      </c>
      <c r="C30" s="178" t="str">
        <f>工程量计算稿!C39</f>
        <v>m2</v>
      </c>
      <c r="D30" s="179">
        <f>结算审核明细表!D43</f>
        <v>32.95</v>
      </c>
      <c r="E30" s="180">
        <f>结算审核明细表!I43</f>
        <v>40.93</v>
      </c>
      <c r="F30" s="181">
        <f ca="1">工程量计算稿!E39</f>
        <v>23.53556</v>
      </c>
      <c r="G30" s="182">
        <f ca="1" t="shared" si="2"/>
        <v>-9.41444</v>
      </c>
      <c r="H30" s="185">
        <f ca="1" t="shared" si="3"/>
        <v>-17.39444</v>
      </c>
      <c r="I30" s="199"/>
      <c r="J30" s="145">
        <f ca="1">G30+G44</f>
        <v>-19.30188</v>
      </c>
      <c r="K30" s="145">
        <f ca="1">H30+H44</f>
        <v>-67.18188</v>
      </c>
    </row>
    <row r="31" ht="16.5" customHeight="1" spans="1:9">
      <c r="A31" s="183">
        <f>工程量计算稿!A40</f>
        <v>7</v>
      </c>
      <c r="B31" s="184" t="str">
        <f>工程量计算稿!B40</f>
        <v>钢筋制安</v>
      </c>
      <c r="C31" s="178" t="str">
        <f>工程量计算稿!C40</f>
        <v>t</v>
      </c>
      <c r="D31" s="187">
        <f>结算审核明细表!D44</f>
        <v>0.49</v>
      </c>
      <c r="E31" s="188">
        <f>结算审核明细表!I44</f>
        <v>0.91</v>
      </c>
      <c r="F31" s="186">
        <f ca="1">工程量计算稿!E40</f>
        <v>0.88900968</v>
      </c>
      <c r="G31" s="186">
        <f ca="1" t="shared" si="2"/>
        <v>0.39900968</v>
      </c>
      <c r="H31" s="189">
        <f ca="1" t="shared" si="3"/>
        <v>-0.02099032</v>
      </c>
      <c r="I31" s="199"/>
    </row>
    <row r="32" ht="16.5" customHeight="1" spans="1:9">
      <c r="A32" s="183">
        <f>工程量计算稿!A43</f>
        <v>8</v>
      </c>
      <c r="B32" s="184" t="str">
        <f>工程量计算稿!B43</f>
        <v>M10砂浆抹面</v>
      </c>
      <c r="C32" s="178" t="str">
        <f>工程量计算稿!C43</f>
        <v>m2</v>
      </c>
      <c r="D32" s="179">
        <f>结算审核明细表!D45</f>
        <v>175.62</v>
      </c>
      <c r="E32" s="180">
        <f>结算审核明细表!I45</f>
        <v>114.84</v>
      </c>
      <c r="F32" s="181">
        <f ca="1">工程量计算稿!E43</f>
        <v>63.485184</v>
      </c>
      <c r="G32" s="182">
        <f ca="1" t="shared" si="2"/>
        <v>-112.134816</v>
      </c>
      <c r="H32" s="185">
        <f ca="1" t="shared" si="3"/>
        <v>-51.354816</v>
      </c>
      <c r="I32" s="199"/>
    </row>
    <row r="33" ht="16.5" customHeight="1" spans="1:11">
      <c r="A33" s="183">
        <f>工程量计算稿!A44</f>
        <v>9</v>
      </c>
      <c r="B33" s="184" t="str">
        <f>工程量计算稿!B44</f>
        <v>池壁贴瓷砖</v>
      </c>
      <c r="C33" s="178" t="str">
        <f>工程量计算稿!C44</f>
        <v>m2</v>
      </c>
      <c r="D33" s="179">
        <f>结算审核明细表!D46</f>
        <v>12.05</v>
      </c>
      <c r="E33" s="180">
        <f>结算审核明细表!I46</f>
        <v>10.32</v>
      </c>
      <c r="F33" s="181">
        <f ca="1">工程量计算稿!E44</f>
        <v>10.32432</v>
      </c>
      <c r="G33" s="182">
        <f ca="1" t="shared" si="2"/>
        <v>-1.72568</v>
      </c>
      <c r="H33" s="185">
        <f ca="1" t="shared" si="3"/>
        <v>0.00431999999999988</v>
      </c>
      <c r="I33" s="199"/>
      <c r="J33" s="201">
        <f ca="1">G33+G47+G65</f>
        <v>-161.44888</v>
      </c>
      <c r="K33" s="201">
        <f ca="1">H33+H47+H65</f>
        <v>-1.97888</v>
      </c>
    </row>
    <row r="34" ht="16.5" customHeight="1" spans="1:9">
      <c r="A34" s="183">
        <f>工程量计算稿!A45</f>
        <v>10</v>
      </c>
      <c r="B34" s="184" t="str">
        <f>工程量计算稿!B45</f>
        <v>M7.5浆砌页岩砖</v>
      </c>
      <c r="C34" s="178" t="str">
        <f>工程量计算稿!C45</f>
        <v>m3</v>
      </c>
      <c r="D34" s="179">
        <f>结算审核明细表!D47</f>
        <v>14.25</v>
      </c>
      <c r="E34" s="180">
        <f>结算审核明细表!I47</f>
        <v>12.84</v>
      </c>
      <c r="F34" s="181">
        <f ca="1">工程量计算稿!E45</f>
        <v>12.7149483</v>
      </c>
      <c r="G34" s="182">
        <f ca="1" t="shared" si="2"/>
        <v>-1.5350517</v>
      </c>
      <c r="H34" s="185">
        <f ca="1" t="shared" si="3"/>
        <v>-0.125051699999997</v>
      </c>
      <c r="I34" s="199"/>
    </row>
    <row r="35" ht="16.5" customHeight="1" spans="1:9">
      <c r="A35" s="183">
        <f>工程量计算稿!A46</f>
        <v>11</v>
      </c>
      <c r="B35" s="184" t="str">
        <f>工程量计算稿!B46</f>
        <v>铁梯制安</v>
      </c>
      <c r="C35" s="178" t="str">
        <f>工程量计算稿!C46</f>
        <v>t</v>
      </c>
      <c r="D35" s="179">
        <f>结算审核明细表!D48</f>
        <v>0.01</v>
      </c>
      <c r="E35" s="180">
        <f>结算审核明细表!I48</f>
        <v>0.01</v>
      </c>
      <c r="F35" s="181">
        <f ca="1">工程量计算稿!E46</f>
        <v>0.01</v>
      </c>
      <c r="G35" s="182">
        <f ca="1" t="shared" si="2"/>
        <v>0</v>
      </c>
      <c r="H35" s="182">
        <f ca="1" t="shared" si="3"/>
        <v>0</v>
      </c>
      <c r="I35" s="199"/>
    </row>
    <row r="36" ht="16.5" customHeight="1" spans="1:9">
      <c r="A36" s="183">
        <f>工程量计算稿!A47</f>
        <v>12</v>
      </c>
      <c r="B36" s="184" t="str">
        <f>工程量计算稿!B47</f>
        <v>通气、进人孔</v>
      </c>
      <c r="C36" s="178" t="str">
        <f>工程量计算稿!C47</f>
        <v>套</v>
      </c>
      <c r="D36" s="179">
        <f>结算审核明细表!D49</f>
        <v>1</v>
      </c>
      <c r="E36" s="180">
        <f>结算审核明细表!I49</f>
        <v>1</v>
      </c>
      <c r="F36" s="181">
        <f ca="1">工程量计算稿!E47</f>
        <v>1</v>
      </c>
      <c r="G36" s="182">
        <f ca="1" t="shared" si="2"/>
        <v>0</v>
      </c>
      <c r="H36" s="182">
        <f ca="1" t="shared" si="3"/>
        <v>0</v>
      </c>
      <c r="I36" s="199"/>
    </row>
    <row r="37" ht="18" customHeight="1" spans="1:9">
      <c r="A37" s="183">
        <f>工程量计算稿!A48</f>
        <v>13</v>
      </c>
      <c r="B37" s="184" t="str">
        <f>工程量计算稿!B48</f>
        <v>人力二次转运材料（500元/t/km，运距0.2km）</v>
      </c>
      <c r="C37" s="178" t="str">
        <f>工程量计算稿!C48</f>
        <v>t</v>
      </c>
      <c r="D37" s="179">
        <f>结算审核明细表!D50</f>
        <v>59</v>
      </c>
      <c r="E37" s="180">
        <f>结算审核明细表!I50</f>
        <v>59.65</v>
      </c>
      <c r="F37" s="181"/>
      <c r="G37" s="182"/>
      <c r="H37" s="182"/>
      <c r="I37" s="203" t="s">
        <v>82</v>
      </c>
    </row>
    <row r="38" ht="16.5" customHeight="1" spans="1:9">
      <c r="A38" s="176" t="str">
        <f>工程量计算稿!A49</f>
        <v>（三）</v>
      </c>
      <c r="B38" s="177" t="str">
        <f>工程量计算稿!B49</f>
        <v>新建80方清水池</v>
      </c>
      <c r="C38" s="178" t="str">
        <f>工程量计算稿!C49</f>
        <v>座</v>
      </c>
      <c r="D38" s="179"/>
      <c r="E38" s="180"/>
      <c r="F38" s="181"/>
      <c r="G38" s="182"/>
      <c r="H38" s="182"/>
      <c r="I38" s="199"/>
    </row>
    <row r="39" ht="16.5" customHeight="1" spans="1:9">
      <c r="A39" s="183">
        <f>工程量计算稿!A50</f>
        <v>1</v>
      </c>
      <c r="B39" s="184" t="str">
        <f>工程量计算稿!B50</f>
        <v>土方开挖</v>
      </c>
      <c r="C39" s="178" t="str">
        <f>工程量计算稿!C50</f>
        <v>m3</v>
      </c>
      <c r="D39" s="179">
        <f>结算审核明细表!D58</f>
        <v>23.89</v>
      </c>
      <c r="E39" s="180">
        <f>结算审核明细表!I58</f>
        <v>174.31</v>
      </c>
      <c r="F39" s="181">
        <f ca="1">工程量计算稿!E50</f>
        <v>83.10417101</v>
      </c>
      <c r="G39" s="182">
        <f ca="1" t="shared" si="2"/>
        <v>59.21417101</v>
      </c>
      <c r="H39" s="185">
        <f ca="1" t="shared" si="3"/>
        <v>-91.20582899</v>
      </c>
      <c r="I39" s="199"/>
    </row>
    <row r="40" ht="16.5" customHeight="1" spans="1:9">
      <c r="A40" s="183">
        <f>工程量计算稿!A51</f>
        <v>2</v>
      </c>
      <c r="B40" s="184" t="str">
        <f>工程量计算稿!B51</f>
        <v>石方开挖</v>
      </c>
      <c r="C40" s="178" t="str">
        <f>工程量计算稿!C51</f>
        <v>m3</v>
      </c>
      <c r="D40" s="179">
        <f>结算审核明细表!D59</f>
        <v>95.56</v>
      </c>
      <c r="E40" s="180">
        <f>结算审核明细表!I59</f>
        <v>74.7</v>
      </c>
      <c r="F40" s="181">
        <f ca="1">工程量计算稿!E51</f>
        <v>35.61607329</v>
      </c>
      <c r="G40" s="182">
        <f ca="1" t="shared" si="2"/>
        <v>-59.94392671</v>
      </c>
      <c r="H40" s="185">
        <f ca="1" t="shared" si="3"/>
        <v>-39.08392671</v>
      </c>
      <c r="I40" s="199"/>
    </row>
    <row r="41" ht="16.5" customHeight="1" spans="1:9">
      <c r="A41" s="183">
        <f>工程量计算稿!A52</f>
        <v>3</v>
      </c>
      <c r="B41" s="184" t="str">
        <f>工程量计算稿!B52</f>
        <v>土方回填</v>
      </c>
      <c r="C41" s="178" t="str">
        <f>工程量计算稿!C52</f>
        <v>m3</v>
      </c>
      <c r="D41" s="179">
        <f>结算审核明细表!D60</f>
        <v>35.84</v>
      </c>
      <c r="E41" s="180">
        <f>结算审核明细表!I60</f>
        <v>78.78</v>
      </c>
      <c r="F41" s="181">
        <f ca="1">工程量计算稿!E52</f>
        <v>20.6419675</v>
      </c>
      <c r="G41" s="182">
        <f ca="1" t="shared" si="2"/>
        <v>-15.1980325</v>
      </c>
      <c r="H41" s="185">
        <f ca="1" t="shared" si="3"/>
        <v>-58.1380325</v>
      </c>
      <c r="I41" s="199"/>
    </row>
    <row r="42" ht="16.5" customHeight="1" spans="1:9">
      <c r="A42" s="183">
        <f>工程量计算稿!A53</f>
        <v>4</v>
      </c>
      <c r="B42" s="184" t="str">
        <f>工程量计算稿!B53</f>
        <v>30cm厚覆土</v>
      </c>
      <c r="C42" s="178" t="str">
        <f>工程量计算稿!C53</f>
        <v>m3</v>
      </c>
      <c r="D42" s="179">
        <f>结算审核明细表!D61</f>
        <v>8.48</v>
      </c>
      <c r="E42" s="180">
        <f>结算审核明细表!I61</f>
        <v>15.53</v>
      </c>
      <c r="F42" s="181">
        <f ca="1">工程量计算稿!E53</f>
        <v>7.641504</v>
      </c>
      <c r="G42" s="182">
        <f ca="1" t="shared" si="2"/>
        <v>-0.838495999999999</v>
      </c>
      <c r="H42" s="185">
        <f ca="1" t="shared" si="3"/>
        <v>-7.888496</v>
      </c>
      <c r="I42" s="199"/>
    </row>
    <row r="43" ht="16.5" customHeight="1" spans="1:9">
      <c r="A43" s="183">
        <f>工程量计算稿!A54</f>
        <v>5</v>
      </c>
      <c r="B43" s="184" t="str">
        <f>工程量计算稿!B54</f>
        <v>C25混凝土浇筑</v>
      </c>
      <c r="C43" s="178" t="str">
        <f>工程量计算稿!C54</f>
        <v>m3</v>
      </c>
      <c r="D43" s="179">
        <f>结算审核明细表!D62</f>
        <v>13.16</v>
      </c>
      <c r="E43" s="180">
        <f>结算审核明细表!I62</f>
        <v>27.76</v>
      </c>
      <c r="F43" s="181">
        <f ca="1">工程量计算稿!E54</f>
        <v>9.4009528</v>
      </c>
      <c r="G43" s="182">
        <f ca="1" t="shared" si="2"/>
        <v>-3.7590472</v>
      </c>
      <c r="H43" s="185">
        <f ca="1" t="shared" si="3"/>
        <v>-18.3590472</v>
      </c>
      <c r="I43" s="199"/>
    </row>
    <row r="44" ht="16.5" customHeight="1" spans="1:9">
      <c r="A44" s="183">
        <f>工程量计算稿!A55</f>
        <v>6</v>
      </c>
      <c r="B44" s="184" t="str">
        <f>工程量计算稿!B55</f>
        <v>模板制安</v>
      </c>
      <c r="C44" s="178" t="str">
        <f>工程量计算稿!C55</f>
        <v>m2</v>
      </c>
      <c r="D44" s="179">
        <f>结算审核明细表!D63</f>
        <v>43.23</v>
      </c>
      <c r="E44" s="180">
        <f>结算审核明细表!I63</f>
        <v>83.13</v>
      </c>
      <c r="F44" s="181">
        <f ca="1">工程量计算稿!E55</f>
        <v>33.34256</v>
      </c>
      <c r="G44" s="182">
        <f ca="1" t="shared" si="2"/>
        <v>-9.88744</v>
      </c>
      <c r="H44" s="185">
        <f ca="1" t="shared" si="3"/>
        <v>-49.78744</v>
      </c>
      <c r="I44" s="199"/>
    </row>
    <row r="45" ht="16.5" customHeight="1" spans="1:9">
      <c r="A45" s="183">
        <f>工程量计算稿!A56</f>
        <v>7</v>
      </c>
      <c r="B45" s="184" t="str">
        <f>工程量计算稿!B56</f>
        <v>钢筋制安</v>
      </c>
      <c r="C45" s="178" t="str">
        <f>工程量计算稿!C56</f>
        <v>t</v>
      </c>
      <c r="D45" s="179">
        <f>结算审核明细表!D64</f>
        <v>0.66</v>
      </c>
      <c r="E45" s="180">
        <f>结算审核明细表!I64</f>
        <v>1.85</v>
      </c>
      <c r="F45" s="181">
        <f ca="1">工程量计算稿!E56</f>
        <v>1.22054756</v>
      </c>
      <c r="G45" s="182">
        <f ca="1" t="shared" si="2"/>
        <v>0.56054756</v>
      </c>
      <c r="H45" s="185">
        <f ca="1" t="shared" si="3"/>
        <v>-0.62945244</v>
      </c>
      <c r="I45" s="199"/>
    </row>
    <row r="46" ht="16.5" customHeight="1" spans="1:9">
      <c r="A46" s="183">
        <f>工程量计算稿!A59</f>
        <v>8</v>
      </c>
      <c r="B46" s="184" t="str">
        <f>工程量计算稿!B59</f>
        <v>M10砂浆抹面</v>
      </c>
      <c r="C46" s="178" t="str">
        <f>工程量计算稿!C59</f>
        <v>m2</v>
      </c>
      <c r="D46" s="179">
        <f>结算审核明细表!D65</f>
        <v>224.51</v>
      </c>
      <c r="E46" s="180">
        <f>结算审核明细表!I65</f>
        <v>187.56</v>
      </c>
      <c r="F46" s="181">
        <f ca="1">工程量计算稿!E59</f>
        <v>62.964464</v>
      </c>
      <c r="G46" s="182">
        <f ca="1" t="shared" si="2"/>
        <v>-161.545536</v>
      </c>
      <c r="H46" s="185">
        <f ca="1" t="shared" si="3"/>
        <v>-124.595536</v>
      </c>
      <c r="I46" s="199"/>
    </row>
    <row r="47" ht="16.5" customHeight="1" spans="1:9">
      <c r="A47" s="183">
        <f>工程量计算稿!A60</f>
        <v>9</v>
      </c>
      <c r="B47" s="184" t="str">
        <f>工程量计算稿!B60</f>
        <v>池壁贴瓷砖</v>
      </c>
      <c r="C47" s="178" t="str">
        <f>工程量计算稿!C60</f>
        <v>m2</v>
      </c>
      <c r="D47" s="179">
        <f>结算审核明细表!D66</f>
        <v>14.24</v>
      </c>
      <c r="E47" s="180">
        <f>结算审核明细表!I66</f>
        <v>15.98</v>
      </c>
      <c r="F47" s="181">
        <f ca="1">工程量计算稿!E60</f>
        <v>5.0868</v>
      </c>
      <c r="G47" s="182">
        <f ca="1" t="shared" si="2"/>
        <v>-9.1532</v>
      </c>
      <c r="H47" s="185">
        <f ca="1" t="shared" si="3"/>
        <v>-10.8932</v>
      </c>
      <c r="I47" s="199"/>
    </row>
    <row r="48" ht="16.5" customHeight="1" spans="1:9">
      <c r="A48" s="183">
        <f>工程量计算稿!A61</f>
        <v>10</v>
      </c>
      <c r="B48" s="184" t="str">
        <f>工程量计算稿!B61</f>
        <v>M7.5浆砌页岩砖</v>
      </c>
      <c r="C48" s="178" t="str">
        <f>工程量计算稿!C61</f>
        <v>m3</v>
      </c>
      <c r="D48" s="179">
        <f>结算审核明细表!D67</f>
        <v>16.85</v>
      </c>
      <c r="E48" s="180">
        <f>结算审核明细表!I67</f>
        <v>20.06</v>
      </c>
      <c r="F48" s="181">
        <f ca="1">工程量计算稿!E61</f>
        <v>13.76032625</v>
      </c>
      <c r="G48" s="182">
        <f ca="1" t="shared" si="2"/>
        <v>-3.08967375</v>
      </c>
      <c r="H48" s="185">
        <f ca="1" t="shared" si="3"/>
        <v>-6.29967375</v>
      </c>
      <c r="I48" s="199"/>
    </row>
    <row r="49" ht="16.5" customHeight="1" spans="1:9">
      <c r="A49" s="183">
        <f>工程量计算稿!A62</f>
        <v>11</v>
      </c>
      <c r="B49" s="184" t="str">
        <f>工程量计算稿!B62</f>
        <v>铁梯制安</v>
      </c>
      <c r="C49" s="178" t="str">
        <f>工程量计算稿!C62</f>
        <v>t</v>
      </c>
      <c r="D49" s="179">
        <f>结算审核明细表!D68</f>
        <v>0.01</v>
      </c>
      <c r="E49" s="180">
        <f>结算审核明细表!I68</f>
        <v>0.01</v>
      </c>
      <c r="F49" s="181">
        <f ca="1">工程量计算稿!E62</f>
        <v>0.01</v>
      </c>
      <c r="G49" s="182">
        <f ca="1" t="shared" si="2"/>
        <v>0</v>
      </c>
      <c r="H49" s="182">
        <f ca="1" t="shared" si="3"/>
        <v>0</v>
      </c>
      <c r="I49" s="199"/>
    </row>
    <row r="50" ht="16.5" customHeight="1" spans="1:9">
      <c r="A50" s="183">
        <f>工程量计算稿!A63</f>
        <v>12</v>
      </c>
      <c r="B50" s="184" t="str">
        <f>工程量计算稿!B63</f>
        <v>通气、进人孔</v>
      </c>
      <c r="C50" s="178" t="str">
        <f>工程量计算稿!C63</f>
        <v>套</v>
      </c>
      <c r="D50" s="179">
        <f>结算审核明细表!D69</f>
        <v>1</v>
      </c>
      <c r="E50" s="180">
        <f>结算审核明细表!I69</f>
        <v>1</v>
      </c>
      <c r="F50" s="181">
        <f ca="1">工程量计算稿!E63</f>
        <v>1</v>
      </c>
      <c r="G50" s="182">
        <f ca="1" t="shared" si="2"/>
        <v>0</v>
      </c>
      <c r="H50" s="182">
        <f ca="1" t="shared" si="3"/>
        <v>0</v>
      </c>
      <c r="I50" s="199"/>
    </row>
    <row r="51" ht="18" customHeight="1" spans="1:9">
      <c r="A51" s="183">
        <f>工程量计算稿!A64</f>
        <v>13</v>
      </c>
      <c r="B51" s="184" t="str">
        <f>工程量计算稿!B64</f>
        <v>人力二次转运材料（500元/t/km，运距0.2km）</v>
      </c>
      <c r="C51" s="178" t="str">
        <f>工程量计算稿!C64</f>
        <v>t</v>
      </c>
      <c r="D51" s="179">
        <f>结算审核明细表!D70</f>
        <v>74</v>
      </c>
      <c r="E51" s="180">
        <f>结算审核明细表!I70</f>
        <v>92.67</v>
      </c>
      <c r="F51" s="181"/>
      <c r="G51" s="182"/>
      <c r="H51" s="182"/>
      <c r="I51" s="203" t="s">
        <v>82</v>
      </c>
    </row>
    <row r="52" ht="16.5" customHeight="1" spans="1:9">
      <c r="A52" s="176" t="str">
        <f>工程量计算稿!A65</f>
        <v>（四）</v>
      </c>
      <c r="B52" s="177" t="str">
        <f>工程量计算稿!B65</f>
        <v>硬化带</v>
      </c>
      <c r="C52" s="178" t="str">
        <f>工程量计算稿!C65</f>
        <v>m</v>
      </c>
      <c r="D52" s="179"/>
      <c r="E52" s="180"/>
      <c r="F52" s="181"/>
      <c r="G52" s="182"/>
      <c r="H52" s="182"/>
      <c r="I52" s="199"/>
    </row>
    <row r="53" ht="16.5" customHeight="1" spans="1:9">
      <c r="A53" s="183">
        <f>工程量计算稿!A66</f>
        <v>1</v>
      </c>
      <c r="B53" s="184" t="str">
        <f>工程量计算稿!B66</f>
        <v>5cm厚砂石垫层</v>
      </c>
      <c r="C53" s="178" t="str">
        <f>工程量计算稿!C66</f>
        <v>m3</v>
      </c>
      <c r="D53" s="179">
        <f>结算审核明细表!D78</f>
        <v>2</v>
      </c>
      <c r="E53" s="180">
        <f>结算审核明细表!I78</f>
        <v>3.87</v>
      </c>
      <c r="F53" s="181">
        <f ca="1">工程量计算稿!E66</f>
        <v>4.0169836</v>
      </c>
      <c r="G53" s="182">
        <f ca="1" t="shared" ref="G52:G70" si="4">F53-D53</f>
        <v>2.0169836</v>
      </c>
      <c r="H53" s="182">
        <f ca="1" t="shared" ref="H52:H70" si="5">F53-E53</f>
        <v>0.1469836</v>
      </c>
      <c r="I53" s="199"/>
    </row>
    <row r="54" ht="16.5" customHeight="1" spans="1:9">
      <c r="A54" s="183">
        <f>工程量计算稿!A69</f>
        <v>2</v>
      </c>
      <c r="B54" s="184" t="str">
        <f>工程量计算稿!B69</f>
        <v>10cm厚C20砼硬化带</v>
      </c>
      <c r="C54" s="178" t="str">
        <f>工程量计算稿!C69</f>
        <v>m3</v>
      </c>
      <c r="D54" s="179">
        <f>结算审核明细表!D79</f>
        <v>4</v>
      </c>
      <c r="E54" s="180">
        <f>结算审核明细表!I79</f>
        <v>7.73</v>
      </c>
      <c r="F54" s="181">
        <f ca="1">工程量计算稿!E69</f>
        <v>12.0509508</v>
      </c>
      <c r="G54" s="182">
        <f ca="1" t="shared" si="4"/>
        <v>8.0509508</v>
      </c>
      <c r="H54" s="185">
        <f ca="1" t="shared" si="5"/>
        <v>4.3209508</v>
      </c>
      <c r="I54" s="199"/>
    </row>
    <row r="55" ht="21" customHeight="1" spans="1:9">
      <c r="A55" s="183">
        <f>工程量计算稿!A72</f>
        <v>3</v>
      </c>
      <c r="B55" s="184" t="str">
        <f>工程量计算稿!B72</f>
        <v>人力二次转运材料（500元/t/km，运距0.4km）</v>
      </c>
      <c r="C55" s="178" t="str">
        <f>工程量计算稿!C72</f>
        <v>t</v>
      </c>
      <c r="D55" s="179">
        <f>结算审核明细表!D80</f>
        <v>13.5</v>
      </c>
      <c r="E55" s="180">
        <f>结算审核明细表!I80</f>
        <v>24.46</v>
      </c>
      <c r="F55" s="181"/>
      <c r="G55" s="182"/>
      <c r="H55" s="182"/>
      <c r="I55" s="203" t="s">
        <v>82</v>
      </c>
    </row>
    <row r="56" ht="16.5" customHeight="1" spans="1:9">
      <c r="A56" s="176" t="str">
        <f>工程量计算稿!A73</f>
        <v>（五）</v>
      </c>
      <c r="B56" s="177" t="str">
        <f>工程量计算稿!B73</f>
        <v>绿化种草</v>
      </c>
      <c r="C56" s="178" t="str">
        <f>工程量计算稿!C73</f>
        <v>m2</v>
      </c>
      <c r="D56" s="179"/>
      <c r="E56" s="180"/>
      <c r="F56" s="181"/>
      <c r="G56" s="182"/>
      <c r="H56" s="182"/>
      <c r="I56" s="199"/>
    </row>
    <row r="57" ht="16.5" customHeight="1" spans="1:9">
      <c r="A57" s="183">
        <f>工程量计算稿!A74</f>
        <v>1</v>
      </c>
      <c r="B57" s="184" t="str">
        <f>工程量计算稿!B74</f>
        <v>绿化种草</v>
      </c>
      <c r="C57" s="178" t="str">
        <f>工程量计算稿!C74</f>
        <v>m2</v>
      </c>
      <c r="D57" s="179">
        <f>结算审核明细表!D90</f>
        <v>80</v>
      </c>
      <c r="E57" s="180">
        <f>结算审核明细表!I90</f>
        <v>71.58</v>
      </c>
      <c r="F57" s="181">
        <f ca="1">工程量计算稿!E74</f>
        <v>52.120232</v>
      </c>
      <c r="G57" s="182">
        <f ca="1" t="shared" si="4"/>
        <v>-27.879768</v>
      </c>
      <c r="H57" s="182">
        <f ca="1" t="shared" si="5"/>
        <v>-19.459768</v>
      </c>
      <c r="I57" s="199"/>
    </row>
    <row r="58" ht="16.5" customHeight="1" spans="1:9">
      <c r="A58" s="176" t="str">
        <f>工程量计算稿!A75</f>
        <v>（六）</v>
      </c>
      <c r="B58" s="177" t="str">
        <f>工程量计算稿!B75</f>
        <v>围墙</v>
      </c>
      <c r="C58" s="178" t="str">
        <f>工程量计算稿!C75</f>
        <v>m</v>
      </c>
      <c r="D58" s="179"/>
      <c r="E58" s="180"/>
      <c r="F58" s="181"/>
      <c r="G58" s="182"/>
      <c r="H58" s="182"/>
      <c r="I58" s="199"/>
    </row>
    <row r="59" ht="16.5" customHeight="1" spans="1:9">
      <c r="A59" s="183">
        <f>工程量计算稿!A76</f>
        <v>1</v>
      </c>
      <c r="B59" s="184" t="str">
        <f>工程量计算稿!B76</f>
        <v>土方开挖</v>
      </c>
      <c r="C59" s="178" t="str">
        <f>工程量计算稿!C76</f>
        <v>m3</v>
      </c>
      <c r="D59" s="179">
        <f>结算审核明细表!D92</f>
        <v>6</v>
      </c>
      <c r="E59" s="180">
        <f>结算审核明细表!I92</f>
        <v>0</v>
      </c>
      <c r="F59" s="181">
        <f ca="1">工程量计算稿!E76</f>
        <v>0</v>
      </c>
      <c r="G59" s="182">
        <f ca="1" t="shared" si="4"/>
        <v>-6</v>
      </c>
      <c r="H59" s="185">
        <f ca="1" t="shared" si="5"/>
        <v>0</v>
      </c>
      <c r="I59" s="199"/>
    </row>
    <row r="60" ht="16.5" customHeight="1" spans="1:9">
      <c r="A60" s="183">
        <f>工程量计算稿!A77</f>
        <v>2</v>
      </c>
      <c r="B60" s="184" t="str">
        <f>工程量计算稿!B77</f>
        <v>石方开挖</v>
      </c>
      <c r="C60" s="178" t="str">
        <f>工程量计算稿!C77</f>
        <v>m3</v>
      </c>
      <c r="D60" s="179">
        <f>结算审核明细表!D93</f>
        <v>6</v>
      </c>
      <c r="E60" s="180">
        <f>结算审核明细表!I93</f>
        <v>0</v>
      </c>
      <c r="F60" s="181">
        <f ca="1">工程量计算稿!E77</f>
        <v>0</v>
      </c>
      <c r="G60" s="182">
        <f ca="1" t="shared" si="4"/>
        <v>-6</v>
      </c>
      <c r="H60" s="185">
        <f ca="1" t="shared" si="5"/>
        <v>0</v>
      </c>
      <c r="I60" s="199"/>
    </row>
    <row r="61" ht="16.5" customHeight="1" spans="1:9">
      <c r="A61" s="183">
        <f>工程量计算稿!A78</f>
        <v>3</v>
      </c>
      <c r="B61" s="184" t="str">
        <f>工程量计算稿!B78</f>
        <v>土方回填</v>
      </c>
      <c r="C61" s="178" t="str">
        <f>工程量计算稿!C78</f>
        <v>m3</v>
      </c>
      <c r="D61" s="179">
        <f>结算审核明细表!D94</f>
        <v>3</v>
      </c>
      <c r="E61" s="180">
        <f>结算审核明细表!I94</f>
        <v>31</v>
      </c>
      <c r="F61" s="181">
        <f ca="1">工程量计算稿!E78</f>
        <v>30.6559828</v>
      </c>
      <c r="G61" s="182">
        <f ca="1" t="shared" si="4"/>
        <v>27.6559828</v>
      </c>
      <c r="H61" s="185">
        <f ca="1" t="shared" si="5"/>
        <v>-0.344017200000007</v>
      </c>
      <c r="I61" s="199"/>
    </row>
    <row r="62" ht="16.5" customHeight="1" spans="1:9">
      <c r="A62" s="183">
        <f>工程量计算稿!A81</f>
        <v>4</v>
      </c>
      <c r="B62" s="184" t="str">
        <f>工程量计算稿!B81</f>
        <v>M7.5浆砌页岩砖（墙体）</v>
      </c>
      <c r="C62" s="178" t="str">
        <f>工程量计算稿!C81</f>
        <v>m3</v>
      </c>
      <c r="D62" s="179">
        <f>结算审核明细表!D95</f>
        <v>21</v>
      </c>
      <c r="E62" s="180">
        <f>结算审核明细表!I95</f>
        <v>9.85</v>
      </c>
      <c r="F62" s="181">
        <f ca="1">工程量计算稿!E81</f>
        <v>9.51696</v>
      </c>
      <c r="G62" s="182">
        <f ca="1" t="shared" si="4"/>
        <v>-11.48304</v>
      </c>
      <c r="H62" s="185">
        <f ca="1" t="shared" si="5"/>
        <v>-0.33304</v>
      </c>
      <c r="I62" s="199"/>
    </row>
    <row r="63" ht="16.5" customHeight="1" spans="1:9">
      <c r="A63" s="183">
        <f>工程量计算稿!A86</f>
        <v>5</v>
      </c>
      <c r="B63" s="184" t="str">
        <f>工程量计算稿!B86</f>
        <v>C25混凝土浇筑（基础高0.3m，宽0.3m）</v>
      </c>
      <c r="C63" s="178" t="str">
        <f>工程量计算稿!C86</f>
        <v>m3</v>
      </c>
      <c r="D63" s="179">
        <f>结算审核明细表!D96</f>
        <v>5.4</v>
      </c>
      <c r="E63" s="180">
        <f>结算审核明细表!I96</f>
        <v>6.16</v>
      </c>
      <c r="F63" s="181">
        <f ca="1">工程量计算稿!E86</f>
        <v>4.0608</v>
      </c>
      <c r="G63" s="182">
        <f ca="1" t="shared" si="4"/>
        <v>-1.3392</v>
      </c>
      <c r="H63" s="185">
        <f ca="1" t="shared" si="5"/>
        <v>-2.0992</v>
      </c>
      <c r="I63" s="199"/>
    </row>
    <row r="64" ht="16.5" customHeight="1" spans="1:9">
      <c r="A64" s="183">
        <f>工程量计算稿!A89</f>
        <v>6</v>
      </c>
      <c r="B64" s="184" t="str">
        <f>工程量计算稿!B89</f>
        <v>钢筋制安</v>
      </c>
      <c r="C64" s="178" t="str">
        <f>工程量计算稿!C89</f>
        <v>t</v>
      </c>
      <c r="D64" s="179">
        <f>结算审核明细表!D97</f>
        <v>0.528</v>
      </c>
      <c r="E64" s="180">
        <f>结算审核明细表!I97</f>
        <v>0.46</v>
      </c>
      <c r="F64" s="186">
        <f ca="1">工程量计算稿!E89</f>
        <v>0.41446464</v>
      </c>
      <c r="G64" s="182">
        <f ca="1" t="shared" si="4"/>
        <v>-0.11353536</v>
      </c>
      <c r="H64" s="185">
        <f ca="1" t="shared" si="5"/>
        <v>-0.04553536</v>
      </c>
      <c r="I64" s="199"/>
    </row>
    <row r="65" ht="16.5" customHeight="1" spans="1:9">
      <c r="A65" s="183">
        <f>工程量计算稿!A92</f>
        <v>7</v>
      </c>
      <c r="B65" s="184" t="str">
        <f>工程量计算稿!B92</f>
        <v>围墙双面贴瓷砖</v>
      </c>
      <c r="C65" s="178" t="str">
        <f>工程量计算稿!C92</f>
        <v>m2</v>
      </c>
      <c r="D65" s="179">
        <f>结算审核明细表!D98</f>
        <v>180</v>
      </c>
      <c r="E65" s="180">
        <f>结算审核明细表!I98</f>
        <v>20.52</v>
      </c>
      <c r="F65" s="181">
        <f ca="1">工程量计算稿!E92</f>
        <v>29.43</v>
      </c>
      <c r="G65" s="182">
        <f ca="1" t="shared" si="4"/>
        <v>-150.57</v>
      </c>
      <c r="H65" s="185">
        <f ca="1" t="shared" si="5"/>
        <v>8.91</v>
      </c>
      <c r="I65" s="199"/>
    </row>
    <row r="66" ht="16.5" customHeight="1" spans="1:9">
      <c r="A66" s="183">
        <f>工程量计算稿!A95</f>
        <v>8</v>
      </c>
      <c r="B66" s="184" t="str">
        <f>工程量计算稿!B95</f>
        <v>M10砂浆抹面</v>
      </c>
      <c r="C66" s="178" t="str">
        <f>工程量计算稿!C95</f>
        <v>m2</v>
      </c>
      <c r="D66" s="179">
        <f>结算审核明细表!D99</f>
        <v>180</v>
      </c>
      <c r="E66" s="180">
        <f>结算审核明细表!I99</f>
        <v>41.04</v>
      </c>
      <c r="F66" s="181">
        <f ca="1">工程量计算稿!E95</f>
        <v>38.599</v>
      </c>
      <c r="G66" s="182">
        <f ca="1" t="shared" si="4"/>
        <v>-141.401</v>
      </c>
      <c r="H66" s="185">
        <f ca="1" t="shared" si="5"/>
        <v>-2.441</v>
      </c>
      <c r="I66" s="199"/>
    </row>
    <row r="67" ht="17" customHeight="1" spans="1:9">
      <c r="A67" s="183">
        <f>工程量计算稿!A100</f>
        <v>9</v>
      </c>
      <c r="B67" s="184" t="str">
        <f>工程量计算稿!B100</f>
        <v>人力二次转运材料（500元/t/km，运距0.4km）</v>
      </c>
      <c r="C67" s="178" t="str">
        <f>工程量计算稿!C100</f>
        <v>m3</v>
      </c>
      <c r="D67" s="179">
        <f>结算审核明细表!D100</f>
        <v>61.2</v>
      </c>
      <c r="E67" s="180">
        <f>结算审核明细表!I100</f>
        <v>35.96</v>
      </c>
      <c r="F67" s="181"/>
      <c r="G67" s="182"/>
      <c r="H67" s="182"/>
      <c r="I67" s="203" t="s">
        <v>82</v>
      </c>
    </row>
    <row r="68" ht="16.5" customHeight="1" spans="1:9">
      <c r="A68" s="183" t="str">
        <f>工程量计算稿!A101</f>
        <v>增1</v>
      </c>
      <c r="B68" s="184" t="str">
        <f>工程量计算稿!B101</f>
        <v>不锈钢栏杆（制作及安装）</v>
      </c>
      <c r="C68" s="178" t="str">
        <f>工程量计算稿!C101</f>
        <v>m2</v>
      </c>
      <c r="D68" s="179">
        <f>结算审核明细表!D113</f>
        <v>0</v>
      </c>
      <c r="E68" s="180">
        <f>结算审核明细表!I113</f>
        <v>73</v>
      </c>
      <c r="F68" s="181">
        <f ca="1">工程量计算稿!E101</f>
        <v>70.132</v>
      </c>
      <c r="G68" s="182">
        <f ca="1" t="shared" si="4"/>
        <v>70.132</v>
      </c>
      <c r="H68" s="182">
        <f ca="1" t="shared" si="5"/>
        <v>-2.86799999999998</v>
      </c>
      <c r="I68" s="199"/>
    </row>
    <row r="69" ht="16.5" customHeight="1" spans="1:9">
      <c r="A69" s="176" t="str">
        <f>工程量计算稿!A102</f>
        <v>（七）</v>
      </c>
      <c r="B69" s="177" t="str">
        <f>工程量计算稿!B102</f>
        <v>不锈钢大门</v>
      </c>
      <c r="C69" s="178" t="str">
        <f>工程量计算稿!C102</f>
        <v>套</v>
      </c>
      <c r="D69" s="179">
        <f>结算审核明细表!D114</f>
        <v>2</v>
      </c>
      <c r="E69" s="180">
        <f>结算审核明细表!I114</f>
        <v>2</v>
      </c>
      <c r="F69" s="181">
        <f ca="1">工程量计算稿!E102</f>
        <v>2</v>
      </c>
      <c r="G69" s="182">
        <f ca="1" t="shared" si="4"/>
        <v>0</v>
      </c>
      <c r="H69" s="182">
        <f ca="1" t="shared" si="5"/>
        <v>0</v>
      </c>
      <c r="I69" s="199"/>
    </row>
    <row r="70" ht="16.5" customHeight="1" spans="1:9">
      <c r="A70" s="176" t="str">
        <f>工程量计算稿!A103</f>
        <v>（八）</v>
      </c>
      <c r="B70" s="177" t="str">
        <f>工程量计算稿!B103</f>
        <v>厂牌 安全饮水标志牌 简介牌</v>
      </c>
      <c r="C70" s="178" t="str">
        <f>工程量计算稿!C103</f>
        <v>套</v>
      </c>
      <c r="D70" s="179">
        <f>结算审核明细表!D115</f>
        <v>2</v>
      </c>
      <c r="E70" s="180">
        <f>结算审核明细表!I115</f>
        <v>2</v>
      </c>
      <c r="F70" s="181">
        <f ca="1">工程量计算稿!E103</f>
        <v>0</v>
      </c>
      <c r="G70" s="182">
        <f ca="1" t="shared" si="4"/>
        <v>-2</v>
      </c>
      <c r="H70" s="182">
        <f ca="1" t="shared" si="5"/>
        <v>-2</v>
      </c>
      <c r="I70" s="199"/>
    </row>
    <row r="71" ht="16.5" customHeight="1" spans="1:9">
      <c r="A71" s="164" t="str">
        <f>工程量计算稿!A104</f>
        <v>四</v>
      </c>
      <c r="B71" s="165" t="str">
        <f>工程量计算稿!B104</f>
        <v>配水工程</v>
      </c>
      <c r="C71" s="171"/>
      <c r="D71" s="172"/>
      <c r="E71" s="173"/>
      <c r="F71" s="174"/>
      <c r="G71" s="175"/>
      <c r="H71" s="175"/>
      <c r="I71" s="197"/>
    </row>
    <row r="72" ht="16.5" customHeight="1" spans="1:9">
      <c r="A72" s="183" t="str">
        <f>工程量计算稿!A105</f>
        <v>（一）</v>
      </c>
      <c r="B72" s="184" t="str">
        <f>工程量计算稿!B105</f>
        <v>管道开挖埋设</v>
      </c>
      <c r="C72" s="178"/>
      <c r="D72" s="179"/>
      <c r="E72" s="180"/>
      <c r="F72" s="181"/>
      <c r="G72" s="182"/>
      <c r="H72" s="182"/>
      <c r="I72" s="199" t="s">
        <v>69</v>
      </c>
    </row>
    <row r="73" ht="16.5" customHeight="1" spans="1:9">
      <c r="A73" s="183">
        <f>工程量计算稿!A106</f>
        <v>1</v>
      </c>
      <c r="B73" s="184" t="str">
        <f>工程量计算稿!B106</f>
        <v>土方开挖</v>
      </c>
      <c r="C73" s="178" t="str">
        <f>工程量计算稿!C106</f>
        <v>m3</v>
      </c>
      <c r="D73" s="179">
        <f>结算审核明细表!D118</f>
        <v>60</v>
      </c>
      <c r="E73" s="180">
        <f>结算审核明细表!I118</f>
        <v>537.6</v>
      </c>
      <c r="F73" s="181">
        <f ca="1">工程量计算稿!E106</f>
        <v>0</v>
      </c>
      <c r="G73" s="182">
        <f ca="1" t="shared" ref="G72:G77" si="6">F73-D73</f>
        <v>-60</v>
      </c>
      <c r="H73" s="185">
        <f ca="1" t="shared" ref="H72:H77" si="7">F73-E73</f>
        <v>-537.6</v>
      </c>
      <c r="I73" s="209"/>
    </row>
    <row r="74" ht="16.5" customHeight="1" spans="1:9">
      <c r="A74" s="183">
        <f>工程量计算稿!A107</f>
        <v>2</v>
      </c>
      <c r="B74" s="184" t="str">
        <f>工程量计算稿!B107</f>
        <v>石方开挖</v>
      </c>
      <c r="C74" s="178" t="str">
        <f>工程量计算稿!C107</f>
        <v>m3</v>
      </c>
      <c r="D74" s="179">
        <f>结算审核明细表!D119</f>
        <v>60</v>
      </c>
      <c r="E74" s="180">
        <f>结算审核明细表!I119</f>
        <v>230.4</v>
      </c>
      <c r="F74" s="181">
        <f ca="1">工程量计算稿!E107</f>
        <v>0</v>
      </c>
      <c r="G74" s="182">
        <f ca="1" t="shared" si="6"/>
        <v>-60</v>
      </c>
      <c r="H74" s="185">
        <f ca="1" t="shared" si="7"/>
        <v>-230.4</v>
      </c>
      <c r="I74" s="209"/>
    </row>
    <row r="75" ht="16.5" customHeight="1" spans="1:9">
      <c r="A75" s="183">
        <f>工程量计算稿!A108</f>
        <v>3</v>
      </c>
      <c r="B75" s="184" t="str">
        <f>工程量计算稿!B108</f>
        <v>土方回填</v>
      </c>
      <c r="C75" s="178" t="str">
        <f>工程量计算稿!C108</f>
        <v>m3</v>
      </c>
      <c r="D75" s="179">
        <f>结算审核明细表!D120</f>
        <v>70</v>
      </c>
      <c r="E75" s="180">
        <f>结算审核明细表!I120</f>
        <v>731.83</v>
      </c>
      <c r="F75" s="181">
        <f ca="1">工程量计算稿!E108</f>
        <v>0</v>
      </c>
      <c r="G75" s="182">
        <f ca="1" t="shared" si="6"/>
        <v>-70</v>
      </c>
      <c r="H75" s="185">
        <f ca="1" t="shared" si="7"/>
        <v>-731.83</v>
      </c>
      <c r="I75" s="209"/>
    </row>
    <row r="76" ht="16.5" customHeight="1" spans="1:9">
      <c r="A76" s="183" t="str">
        <f>工程量计算稿!A109</f>
        <v>（二）</v>
      </c>
      <c r="B76" s="184" t="str">
        <f>工程量计算稿!B109</f>
        <v>公路混凝土破碎</v>
      </c>
      <c r="C76" s="178" t="str">
        <f>工程量计算稿!C109</f>
        <v>m3</v>
      </c>
      <c r="D76" s="179">
        <f>结算审核明细表!D121</f>
        <v>2</v>
      </c>
      <c r="E76" s="180">
        <f>结算审核明细表!I121</f>
        <v>0.9</v>
      </c>
      <c r="F76" s="181">
        <f ca="1">工程量计算稿!E109</f>
        <v>0.9</v>
      </c>
      <c r="G76" s="182">
        <f ca="1" t="shared" si="6"/>
        <v>-1.1</v>
      </c>
      <c r="H76" s="182">
        <f ca="1" t="shared" si="7"/>
        <v>0</v>
      </c>
      <c r="I76" s="199"/>
    </row>
    <row r="77" ht="16.5" customHeight="1" spans="1:9">
      <c r="A77" s="183" t="str">
        <f>工程量计算稿!A110</f>
        <v>（三）</v>
      </c>
      <c r="B77" s="184" t="str">
        <f>工程量计算稿!B110</f>
        <v>C25砼路面恢复</v>
      </c>
      <c r="C77" s="178" t="str">
        <f>工程量计算稿!C110</f>
        <v>m3</v>
      </c>
      <c r="D77" s="179">
        <f>结算审核明细表!D122</f>
        <v>2</v>
      </c>
      <c r="E77" s="180">
        <f>结算审核明细表!I122</f>
        <v>0.9</v>
      </c>
      <c r="F77" s="181">
        <f ca="1">工程量计算稿!E110</f>
        <v>0.9</v>
      </c>
      <c r="G77" s="182">
        <f ca="1" t="shared" si="6"/>
        <v>-1.1</v>
      </c>
      <c r="H77" s="185">
        <f ca="1" t="shared" si="7"/>
        <v>0</v>
      </c>
      <c r="I77" s="199"/>
    </row>
    <row r="78" ht="16.5" customHeight="1" spans="1:9">
      <c r="A78" s="176"/>
      <c r="B78" s="204" t="str">
        <f>工程量计算稿!B111</f>
        <v>第二部分 机电设备安装工程</v>
      </c>
      <c r="C78" s="204"/>
      <c r="D78" s="205"/>
      <c r="E78" s="206"/>
      <c r="F78" s="181"/>
      <c r="G78" s="207"/>
      <c r="H78" s="207"/>
      <c r="I78" s="210"/>
    </row>
    <row r="79" spans="1:9">
      <c r="A79" s="164" t="str">
        <f>工程量计算稿!A112</f>
        <v>一</v>
      </c>
      <c r="B79" s="165" t="str">
        <f>工程量计算稿!B112</f>
        <v>取水工程</v>
      </c>
      <c r="C79" s="171"/>
      <c r="D79" s="172"/>
      <c r="E79" s="173"/>
      <c r="F79" s="174"/>
      <c r="G79" s="175"/>
      <c r="H79" s="175"/>
      <c r="I79" s="197"/>
    </row>
    <row r="80" spans="1:9">
      <c r="A80" s="164" t="str">
        <f>工程量计算稿!A113</f>
        <v>二</v>
      </c>
      <c r="B80" s="165" t="str">
        <f>工程量计算稿!B113</f>
        <v>输水工程</v>
      </c>
      <c r="C80" s="171"/>
      <c r="D80" s="172"/>
      <c r="E80" s="173"/>
      <c r="F80" s="174"/>
      <c r="G80" s="175"/>
      <c r="H80" s="175"/>
      <c r="I80" s="197"/>
    </row>
    <row r="81" spans="1:9">
      <c r="A81" s="183">
        <f>工程量计算稿!A114</f>
        <v>1</v>
      </c>
      <c r="B81" s="184" t="str">
        <f>工程量计算稿!B114</f>
        <v>DN40热镀锌无缝钢管壁厚4.0</v>
      </c>
      <c r="C81" s="178" t="str">
        <f>工程量计算稿!C114</f>
        <v>m</v>
      </c>
      <c r="D81" s="179">
        <f>结算审核明细表!D126</f>
        <v>2000</v>
      </c>
      <c r="E81" s="180">
        <f>结算审核明细表!I126</f>
        <v>3000</v>
      </c>
      <c r="F81" s="181">
        <f ca="1">工程量计算稿!E114</f>
        <v>3000</v>
      </c>
      <c r="G81" s="182">
        <f ca="1">F81-D81</f>
        <v>1000</v>
      </c>
      <c r="H81" s="182">
        <f ca="1" t="shared" ref="H81:H86" si="8">F81-E81</f>
        <v>0</v>
      </c>
      <c r="I81" s="199"/>
    </row>
    <row r="82" spans="1:9">
      <c r="A82" s="183">
        <f>工程量计算稿!A115</f>
        <v>2</v>
      </c>
      <c r="B82" s="184" t="str">
        <f>工程量计算稿!B115</f>
        <v>DN40热镀锌无缝钢管壁厚3.5</v>
      </c>
      <c r="C82" s="178" t="str">
        <f>工程量计算稿!C115</f>
        <v>m</v>
      </c>
      <c r="D82" s="179">
        <f>结算审核明细表!D127</f>
        <v>1800</v>
      </c>
      <c r="E82" s="180">
        <f>结算审核明细表!I127</f>
        <v>4150</v>
      </c>
      <c r="F82" s="181">
        <f ca="1">工程量计算稿!E115</f>
        <v>4150</v>
      </c>
      <c r="G82" s="182">
        <f ca="1">F82-D82</f>
        <v>2350</v>
      </c>
      <c r="H82" s="182">
        <f ca="1" t="shared" si="8"/>
        <v>0</v>
      </c>
      <c r="I82" s="199"/>
    </row>
    <row r="83" spans="1:9">
      <c r="A83" s="183">
        <f>工程量计算稿!A116</f>
        <v>3</v>
      </c>
      <c r="B83" s="184" t="str">
        <f>工程量计算稿!B116</f>
        <v>DN40下村主管高压闸阀、高压水表</v>
      </c>
      <c r="C83" s="178" t="str">
        <f>工程量计算稿!C116</f>
        <v>套</v>
      </c>
      <c r="D83" s="179">
        <f>结算审核明细表!D128</f>
        <v>2</v>
      </c>
      <c r="E83" s="180">
        <f>结算审核明细表!I128</f>
        <v>2</v>
      </c>
      <c r="F83" s="181">
        <f ca="1">工程量计算稿!E116</f>
        <v>2</v>
      </c>
      <c r="G83" s="182">
        <f ca="1" t="shared" ref="G81:G86" si="9">F83-D83</f>
        <v>0</v>
      </c>
      <c r="H83" s="182">
        <f ca="1" t="shared" si="8"/>
        <v>0</v>
      </c>
      <c r="I83" s="199"/>
    </row>
    <row r="84" spans="1:9">
      <c r="A84" s="183">
        <f>工程量计算稿!A117</f>
        <v>4</v>
      </c>
      <c r="B84" s="184" t="str">
        <f>工程量计算稿!B117</f>
        <v>闸阀、伸缩节、交接头</v>
      </c>
      <c r="C84" s="178" t="str">
        <f>工程量计算稿!C117</f>
        <v>套</v>
      </c>
      <c r="D84" s="179">
        <f>结算审核明细表!D129</f>
        <v>2</v>
      </c>
      <c r="E84" s="180">
        <f>结算审核明细表!I129</f>
        <v>3</v>
      </c>
      <c r="F84" s="181">
        <f ca="1">工程量计算稿!E117</f>
        <v>2</v>
      </c>
      <c r="G84" s="182">
        <f ca="1" t="shared" si="9"/>
        <v>0</v>
      </c>
      <c r="H84" s="182">
        <f ca="1" t="shared" si="8"/>
        <v>-1</v>
      </c>
      <c r="I84" s="199"/>
    </row>
    <row r="85" spans="1:9">
      <c r="A85" s="183">
        <f>工程量计算稿!A118</f>
        <v>5</v>
      </c>
      <c r="B85" s="184" t="str">
        <f>工程量计算稿!B118</f>
        <v>减压阀</v>
      </c>
      <c r="C85" s="178" t="str">
        <f>工程量计算稿!C118</f>
        <v>个</v>
      </c>
      <c r="D85" s="179">
        <f>结算审核明细表!D130</f>
        <v>4</v>
      </c>
      <c r="E85" s="180">
        <f>结算审核明细表!I130</f>
        <v>1</v>
      </c>
      <c r="F85" s="181">
        <f ca="1">工程量计算稿!E118</f>
        <v>1</v>
      </c>
      <c r="G85" s="182">
        <f ca="1" t="shared" si="9"/>
        <v>-3</v>
      </c>
      <c r="H85" s="182">
        <f ca="1" t="shared" si="8"/>
        <v>0</v>
      </c>
      <c r="I85" s="199"/>
    </row>
    <row r="86" spans="1:9">
      <c r="A86" s="183">
        <f>工程量计算稿!A119</f>
        <v>6</v>
      </c>
      <c r="B86" s="184" t="str">
        <f>工程量计算稿!B119</f>
        <v>七岭村管道安装费用</v>
      </c>
      <c r="C86" s="178" t="str">
        <f>工程量计算稿!C119</f>
        <v>项</v>
      </c>
      <c r="D86" s="179"/>
      <c r="E86" s="180" t="e">
        <f>结算审核明细表!#REF!</f>
        <v>#REF!</v>
      </c>
      <c r="F86" s="208">
        <f ca="1">工程量计算稿!E119</f>
        <v>0</v>
      </c>
      <c r="G86" s="182">
        <f ca="1" t="shared" si="9"/>
        <v>0</v>
      </c>
      <c r="H86" s="182" t="e">
        <f ca="1" t="shared" si="8"/>
        <v>#REF!</v>
      </c>
      <c r="I86" s="203"/>
    </row>
    <row r="87" spans="1:9">
      <c r="A87" s="164" t="str">
        <f>工程量计算稿!A120</f>
        <v>三</v>
      </c>
      <c r="B87" s="165" t="str">
        <f>工程量计算稿!B120</f>
        <v>水厂工程</v>
      </c>
      <c r="C87" s="171"/>
      <c r="D87" s="172"/>
      <c r="E87" s="173"/>
      <c r="F87" s="174"/>
      <c r="G87" s="175"/>
      <c r="H87" s="175"/>
      <c r="I87" s="197"/>
    </row>
    <row r="88" spans="1:9">
      <c r="A88" s="183">
        <f>工程量计算稿!A121</f>
        <v>1</v>
      </c>
      <c r="B88" s="184" t="str">
        <f>工程量计算稿!B121</f>
        <v>浮球阀</v>
      </c>
      <c r="C88" s="178" t="str">
        <f>工程量计算稿!C121</f>
        <v>个</v>
      </c>
      <c r="D88" s="179">
        <f>结算审核明细表!D133</f>
        <v>2</v>
      </c>
      <c r="E88" s="180">
        <f>结算审核明细表!I133</f>
        <v>2</v>
      </c>
      <c r="F88" s="181">
        <f ca="1">工程量计算稿!E121</f>
        <v>2</v>
      </c>
      <c r="G88" s="182">
        <f ca="1">F88-D88</f>
        <v>0</v>
      </c>
      <c r="H88" s="182">
        <f ca="1">F88-E88</f>
        <v>0</v>
      </c>
      <c r="I88" s="199"/>
    </row>
    <row r="89" spans="1:9">
      <c r="A89" s="183">
        <f>工程量计算稿!A122</f>
        <v>2</v>
      </c>
      <c r="B89" s="184" t="str">
        <f>工程量计算稿!B122</f>
        <v>dn50紫外线杀毒灯</v>
      </c>
      <c r="C89" s="178" t="str">
        <f>工程量计算稿!C122</f>
        <v>个</v>
      </c>
      <c r="D89" s="179">
        <f>结算审核明细表!D134</f>
        <v>2</v>
      </c>
      <c r="E89" s="180">
        <f>结算审核明细表!I134</f>
        <v>2</v>
      </c>
      <c r="F89" s="181">
        <f ca="1">工程量计算稿!E122</f>
        <v>2</v>
      </c>
      <c r="G89" s="182">
        <f ca="1">F89-D89</f>
        <v>0</v>
      </c>
      <c r="H89" s="182">
        <f ca="1">F89-E89</f>
        <v>0</v>
      </c>
      <c r="I89" s="199"/>
    </row>
    <row r="90" spans="1:9">
      <c r="A90" s="183">
        <f>工程量计算稿!A123</f>
        <v>3</v>
      </c>
      <c r="B90" s="184" t="str">
        <f>工程量计算稿!B123</f>
        <v>电表</v>
      </c>
      <c r="C90" s="178" t="str">
        <f>工程量计算稿!C123</f>
        <v>支</v>
      </c>
      <c r="D90" s="179">
        <f>结算审核明细表!D135</f>
        <v>2</v>
      </c>
      <c r="E90" s="180">
        <f>结算审核明细表!I135</f>
        <v>2</v>
      </c>
      <c r="F90" s="181">
        <f ca="1">工程量计算稿!E123</f>
        <v>2</v>
      </c>
      <c r="G90" s="182">
        <f ca="1">F90-D90</f>
        <v>0</v>
      </c>
      <c r="H90" s="182">
        <f ca="1">F90-E90</f>
        <v>0</v>
      </c>
      <c r="I90" s="199"/>
    </row>
    <row r="91" spans="1:9">
      <c r="A91" s="183">
        <f>工程量计算稿!A124</f>
        <v>4</v>
      </c>
      <c r="B91" s="184" t="str">
        <f>工程量计算稿!B124</f>
        <v>220V供电线路</v>
      </c>
      <c r="C91" s="178" t="str">
        <f>工程量计算稿!C124</f>
        <v>m</v>
      </c>
      <c r="D91" s="179">
        <f>结算审核明细表!D136</f>
        <v>200</v>
      </c>
      <c r="E91" s="180">
        <f>结算审核明细表!I136</f>
        <v>200</v>
      </c>
      <c r="F91" s="181">
        <f ca="1">工程量计算稿!E124</f>
        <v>200</v>
      </c>
      <c r="G91" s="182">
        <f ca="1">F91-D91</f>
        <v>0</v>
      </c>
      <c r="H91" s="182">
        <f ca="1">F91-E91</f>
        <v>0</v>
      </c>
      <c r="I91" s="199"/>
    </row>
    <row r="92" spans="1:9">
      <c r="A92" s="183">
        <f>工程量计算稿!A125</f>
        <v>5</v>
      </c>
      <c r="B92" s="184" t="str">
        <f>工程量计算稿!B125</f>
        <v>电杆架设</v>
      </c>
      <c r="C92" s="178" t="str">
        <f>工程量计算稿!C125</f>
        <v>根</v>
      </c>
      <c r="D92" s="179">
        <f>结算审核明细表!D137</f>
        <v>2</v>
      </c>
      <c r="E92" s="180">
        <f>结算审核明细表!I137</f>
        <v>3</v>
      </c>
      <c r="F92" s="181">
        <f ca="1">工程量计算稿!E125</f>
        <v>1</v>
      </c>
      <c r="G92" s="182">
        <f ca="1">F92-D92</f>
        <v>-1</v>
      </c>
      <c r="H92" s="182">
        <f ca="1">F92-E92</f>
        <v>-2</v>
      </c>
      <c r="I92" s="199"/>
    </row>
    <row r="93" spans="1:9">
      <c r="A93" s="164" t="str">
        <f>工程量计算稿!A126</f>
        <v>四</v>
      </c>
      <c r="B93" s="165" t="str">
        <f>工程量计算稿!B126</f>
        <v>配水工程</v>
      </c>
      <c r="C93" s="171"/>
      <c r="D93" s="172"/>
      <c r="E93" s="173"/>
      <c r="F93" s="174"/>
      <c r="G93" s="175"/>
      <c r="H93" s="175"/>
      <c r="I93" s="197"/>
    </row>
    <row r="94" spans="1:9">
      <c r="A94" s="183">
        <f>工程量计算稿!A127</f>
        <v>1</v>
      </c>
      <c r="B94" s="184" t="str">
        <f>工程量计算稿!B127</f>
        <v>dn50（1.6MPa壁厚4.6）PE管</v>
      </c>
      <c r="C94" s="178" t="str">
        <f>工程量计算稿!C127</f>
        <v>m</v>
      </c>
      <c r="D94" s="179">
        <f>结算审核明细表!D139</f>
        <v>5500</v>
      </c>
      <c r="E94" s="180">
        <f>结算审核明细表!I139</f>
        <v>2800</v>
      </c>
      <c r="F94" s="181">
        <f ca="1">工程量计算稿!E127</f>
        <v>2800</v>
      </c>
      <c r="G94" s="182">
        <f ca="1" t="shared" ref="G94:G101" si="10">F94-D94</f>
        <v>-2700</v>
      </c>
      <c r="H94" s="182">
        <f ca="1" t="shared" ref="H94:H101" si="11">F94-E94</f>
        <v>0</v>
      </c>
      <c r="I94" s="199"/>
    </row>
    <row r="95" spans="1:9">
      <c r="A95" s="183">
        <f>工程量计算稿!A128</f>
        <v>2</v>
      </c>
      <c r="B95" s="184" t="str">
        <f>工程量计算稿!B128</f>
        <v>dn40（1.6MPa壁厚3.7）PE管</v>
      </c>
      <c r="C95" s="178" t="str">
        <f>工程量计算稿!C128</f>
        <v>m</v>
      </c>
      <c r="D95" s="179">
        <f>结算审核明细表!D140</f>
        <v>7800</v>
      </c>
      <c r="E95" s="180">
        <f>结算审核明细表!I140</f>
        <v>4000</v>
      </c>
      <c r="F95" s="181">
        <f ca="1">工程量计算稿!E128</f>
        <v>4000</v>
      </c>
      <c r="G95" s="182">
        <f ca="1" t="shared" si="10"/>
        <v>-3800</v>
      </c>
      <c r="H95" s="182">
        <f ca="1" t="shared" si="11"/>
        <v>0</v>
      </c>
      <c r="I95" s="199"/>
    </row>
    <row r="96" spans="1:9">
      <c r="A96" s="183">
        <f>工程量计算稿!A129</f>
        <v>3</v>
      </c>
      <c r="B96" s="184" t="str">
        <f>工程量计算稿!B129</f>
        <v>dn32（1.6MPa壁厚3.0）PE管</v>
      </c>
      <c r="C96" s="178" t="str">
        <f>工程量计算稿!C129</f>
        <v>m</v>
      </c>
      <c r="D96" s="179">
        <f>结算审核明细表!D141</f>
        <v>6500</v>
      </c>
      <c r="E96" s="180">
        <f>结算审核明细表!I141</f>
        <v>6000</v>
      </c>
      <c r="F96" s="181">
        <f ca="1">工程量计算稿!E129</f>
        <v>5600</v>
      </c>
      <c r="G96" s="182">
        <f ca="1" t="shared" si="10"/>
        <v>-900</v>
      </c>
      <c r="H96" s="182">
        <f ca="1" t="shared" si="11"/>
        <v>-400</v>
      </c>
      <c r="I96" s="211" t="s">
        <v>83</v>
      </c>
    </row>
    <row r="97" spans="1:9">
      <c r="A97" s="183">
        <f>工程量计算稿!A130</f>
        <v>4</v>
      </c>
      <c r="B97" s="184" t="str">
        <f>工程量计算稿!B130</f>
        <v>dn25（1.6MPa壁厚2.3）PE管</v>
      </c>
      <c r="C97" s="178" t="str">
        <f>工程量计算稿!C130</f>
        <v>m</v>
      </c>
      <c r="D97" s="179">
        <f>结算审核明细表!D142</f>
        <v>8700</v>
      </c>
      <c r="E97" s="180">
        <f>结算审核明细表!I142</f>
        <v>5600</v>
      </c>
      <c r="F97" s="181">
        <f ca="1">工程量计算稿!E130</f>
        <v>5400</v>
      </c>
      <c r="G97" s="182">
        <f ca="1" t="shared" si="10"/>
        <v>-3300</v>
      </c>
      <c r="H97" s="182">
        <f ca="1" t="shared" si="11"/>
        <v>-200</v>
      </c>
      <c r="I97" s="211" t="s">
        <v>84</v>
      </c>
    </row>
    <row r="98" spans="1:9">
      <c r="A98" s="183">
        <f>工程量计算稿!A131</f>
        <v>5</v>
      </c>
      <c r="B98" s="184" t="str">
        <f>工程量计算稿!B131</f>
        <v>dn20（1.6MPa壁厚2.3）PE管</v>
      </c>
      <c r="C98" s="178" t="str">
        <f>工程量计算稿!C131</f>
        <v>m</v>
      </c>
      <c r="D98" s="179">
        <f>结算审核明细表!D143</f>
        <v>29300</v>
      </c>
      <c r="E98" s="180">
        <f>结算审核明细表!I143</f>
        <v>17500</v>
      </c>
      <c r="F98" s="181">
        <f ca="1">工程量计算稿!E131</f>
        <v>17200</v>
      </c>
      <c r="G98" s="182">
        <f ca="1" t="shared" si="10"/>
        <v>-12100</v>
      </c>
      <c r="H98" s="182">
        <f ca="1" t="shared" si="11"/>
        <v>-300</v>
      </c>
      <c r="I98" s="211" t="s">
        <v>85</v>
      </c>
    </row>
    <row r="99" ht="22.5" spans="1:9">
      <c r="A99" s="183">
        <f>工程量计算稿!A132</f>
        <v>6</v>
      </c>
      <c r="B99" s="184" t="str">
        <f>工程量计算稿!B132</f>
        <v>各类管件</v>
      </c>
      <c r="C99" s="178" t="str">
        <f>工程量计算稿!C132</f>
        <v>元</v>
      </c>
      <c r="D99" s="179">
        <f>结算审核明细表!G144</f>
        <v>29503.33</v>
      </c>
      <c r="E99" s="180">
        <f>结算审核明细表!L144</f>
        <v>5727.41</v>
      </c>
      <c r="F99" s="181"/>
      <c r="G99" s="182">
        <f t="shared" si="10"/>
        <v>-29503.33</v>
      </c>
      <c r="H99" s="182">
        <f t="shared" si="11"/>
        <v>-5727.41</v>
      </c>
      <c r="I99" s="211" t="s">
        <v>86</v>
      </c>
    </row>
  </sheetData>
  <autoFilter ref="A3:I99">
    <extLst/>
  </autoFilter>
  <mergeCells count="10">
    <mergeCell ref="A1:I1"/>
    <mergeCell ref="A2:I2"/>
    <mergeCell ref="G3:H3"/>
    <mergeCell ref="A3:A4"/>
    <mergeCell ref="B3:B4"/>
    <mergeCell ref="C3:C4"/>
    <mergeCell ref="D3:D4"/>
    <mergeCell ref="E3:E4"/>
    <mergeCell ref="F3:F4"/>
    <mergeCell ref="I3:I4"/>
  </mergeCells>
  <pageMargins left="0.472222222222222" right="0.432638888888889" top="0.472222222222222" bottom="0.66875" header="0.236111111111111" footer="0.432638888888889"/>
  <pageSetup paperSize="9" scale="93" fitToHeight="0" orientation="portrait" horizontalDpi="600"/>
  <headerFooter>
    <oddHeader>&amp;R
&amp;10&amp;B
第&amp;P页 共&amp;N页</oddHeader>
    <oddFooter>&amp;L&amp;B建设单位：&amp;C&amp;B施工单位：&amp;R&amp;B审核单位：</oddFooter>
  </headerFooter>
  <ignoredErrors>
    <ignoredError sqref="G86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32"/>
  <sheetViews>
    <sheetView workbookViewId="0">
      <pane ySplit="3" topLeftCell="A4" activePane="bottomLeft" state="frozenSplit"/>
      <selection/>
      <selection pane="bottomLeft" activeCell="D9" sqref="D9"/>
    </sheetView>
  </sheetViews>
  <sheetFormatPr defaultColWidth="9" defaultRowHeight="16.5" customHeight="1"/>
  <cols>
    <col min="1" max="1" width="7.625" style="90" customWidth="1"/>
    <col min="2" max="2" width="34.75" style="91" customWidth="1"/>
    <col min="3" max="3" width="5.13333333333333" style="90" customWidth="1"/>
    <col min="4" max="4" width="47.625" style="92" customWidth="1"/>
    <col min="5" max="5" width="8.88333333333333" style="86" customWidth="1"/>
    <col min="6" max="6" width="12.2833333333333" style="93" customWidth="1"/>
    <col min="7" max="7" width="12.625" style="86" hidden="1" customWidth="1"/>
    <col min="8" max="8" width="9.25" style="86" hidden="1" customWidth="1"/>
    <col min="9" max="9" width="11.1333333333333" style="86" hidden="1" customWidth="1"/>
    <col min="10" max="10" width="11.775" style="86" hidden="1" customWidth="1"/>
    <col min="11" max="11" width="11.1333333333333" style="86"/>
    <col min="12" max="16384" width="9" style="86"/>
  </cols>
  <sheetData>
    <row r="1" ht="48" customHeight="1" spans="1:6">
      <c r="A1" s="94" t="s">
        <v>87</v>
      </c>
      <c r="B1" s="95"/>
      <c r="C1" s="94"/>
      <c r="D1" s="96"/>
      <c r="E1" s="97"/>
      <c r="F1" s="98"/>
    </row>
    <row r="2" s="86" customFormat="1" ht="25" customHeight="1" spans="1:6">
      <c r="A2" s="99" t="s">
        <v>22</v>
      </c>
      <c r="B2" s="99"/>
      <c r="C2" s="99"/>
      <c r="D2" s="100"/>
      <c r="E2" s="100"/>
      <c r="F2" s="100"/>
    </row>
    <row r="3" s="87" customFormat="1" customHeight="1" spans="1:6">
      <c r="A3" s="101" t="s">
        <v>44</v>
      </c>
      <c r="B3" s="102" t="s">
        <v>24</v>
      </c>
      <c r="C3" s="102" t="s">
        <v>25</v>
      </c>
      <c r="D3" s="103" t="s">
        <v>88</v>
      </c>
      <c r="E3" s="104" t="s">
        <v>89</v>
      </c>
      <c r="F3" s="105" t="s">
        <v>48</v>
      </c>
    </row>
    <row r="4" s="87" customFormat="1" customHeight="1" spans="1:6">
      <c r="A4" s="101"/>
      <c r="B4" s="106" t="s">
        <v>54</v>
      </c>
      <c r="C4" s="102"/>
      <c r="D4" s="103"/>
      <c r="E4" s="104"/>
      <c r="F4" s="105"/>
    </row>
    <row r="5" s="87" customFormat="1" customHeight="1" spans="1:6">
      <c r="A5" s="106" t="s">
        <v>90</v>
      </c>
      <c r="B5" s="107" t="s">
        <v>91</v>
      </c>
      <c r="C5" s="108"/>
      <c r="D5" s="109"/>
      <c r="E5" s="110"/>
      <c r="F5" s="111"/>
    </row>
    <row r="6" s="87" customFormat="1" customHeight="1" spans="1:9">
      <c r="A6" s="106" t="s">
        <v>92</v>
      </c>
      <c r="B6" s="107" t="s">
        <v>93</v>
      </c>
      <c r="C6" s="108"/>
      <c r="D6" s="109"/>
      <c r="E6" s="112"/>
      <c r="F6" s="113"/>
      <c r="I6" s="129"/>
    </row>
    <row r="7" s="87" customFormat="1" customHeight="1" spans="1:9">
      <c r="A7" s="114" t="s">
        <v>94</v>
      </c>
      <c r="B7" s="115" t="s">
        <v>95</v>
      </c>
      <c r="C7" s="116"/>
      <c r="D7" s="117"/>
      <c r="E7" s="118"/>
      <c r="F7" s="119"/>
      <c r="I7" s="129"/>
    </row>
    <row r="8" s="87" customFormat="1" customHeight="1" spans="1:9">
      <c r="A8" s="114">
        <v>1</v>
      </c>
      <c r="B8" s="115" t="s">
        <v>96</v>
      </c>
      <c r="C8" s="116" t="s">
        <v>60</v>
      </c>
      <c r="D8" s="117" t="s">
        <v>97</v>
      </c>
      <c r="E8" s="118">
        <f ca="1">EVALUATE(D8)</f>
        <v>0</v>
      </c>
      <c r="F8" s="119"/>
      <c r="G8" s="87">
        <f>12400*0.3*0.2*0.7</f>
        <v>520.8</v>
      </c>
      <c r="I8" s="120"/>
    </row>
    <row r="9" s="87" customFormat="1" customHeight="1" spans="1:9">
      <c r="A9" s="114">
        <v>2</v>
      </c>
      <c r="B9" s="115" t="s">
        <v>98</v>
      </c>
      <c r="C9" s="116" t="s">
        <v>60</v>
      </c>
      <c r="D9" s="117" t="s">
        <v>99</v>
      </c>
      <c r="E9" s="118">
        <f ca="1">EVALUATE(D9)</f>
        <v>0</v>
      </c>
      <c r="F9" s="119"/>
      <c r="G9" s="87">
        <f>12400*0.3*0.2*0.3</f>
        <v>223.2</v>
      </c>
      <c r="I9" s="120"/>
    </row>
    <row r="10" s="87" customFormat="1" customHeight="1" spans="1:6">
      <c r="A10" s="114">
        <v>3</v>
      </c>
      <c r="B10" s="115" t="s">
        <v>100</v>
      </c>
      <c r="C10" s="116" t="s">
        <v>60</v>
      </c>
      <c r="D10" s="117" t="s">
        <v>101</v>
      </c>
      <c r="E10" s="118">
        <f ca="1">EVALUATE(D10)</f>
        <v>0</v>
      </c>
      <c r="F10" s="119"/>
    </row>
    <row r="11" s="87" customFormat="1" customHeight="1" spans="1:6">
      <c r="A11" s="114" t="s">
        <v>102</v>
      </c>
      <c r="B11" s="115" t="s">
        <v>103</v>
      </c>
      <c r="C11" s="116" t="s">
        <v>104</v>
      </c>
      <c r="D11" s="117">
        <v>2</v>
      </c>
      <c r="E11" s="118">
        <f ca="1">EVALUATE(D11)</f>
        <v>2</v>
      </c>
      <c r="F11" s="119"/>
    </row>
    <row r="12" s="87" customFormat="1" customHeight="1" spans="1:6">
      <c r="A12" s="106" t="s">
        <v>105</v>
      </c>
      <c r="B12" s="107" t="s">
        <v>106</v>
      </c>
      <c r="C12" s="108"/>
      <c r="D12" s="109"/>
      <c r="E12" s="112"/>
      <c r="F12" s="113"/>
    </row>
    <row r="13" s="87" customFormat="1" customHeight="1" spans="1:8">
      <c r="A13" s="114" t="s">
        <v>94</v>
      </c>
      <c r="B13" s="115" t="s">
        <v>107</v>
      </c>
      <c r="C13" s="116" t="s">
        <v>108</v>
      </c>
      <c r="D13" s="117">
        <v>2</v>
      </c>
      <c r="E13" s="118"/>
      <c r="F13" s="119"/>
      <c r="H13" s="120"/>
    </row>
    <row r="14" s="87" customFormat="1" customHeight="1" spans="1:6">
      <c r="A14" s="114">
        <v>1</v>
      </c>
      <c r="B14" s="115" t="s">
        <v>96</v>
      </c>
      <c r="C14" s="116" t="s">
        <v>60</v>
      </c>
      <c r="D14" s="117">
        <v>0</v>
      </c>
      <c r="E14" s="118">
        <f ca="1" t="shared" ref="E14:E32" si="0">EVALUATE(D14)</f>
        <v>0</v>
      </c>
      <c r="F14" s="119"/>
    </row>
    <row r="15" s="87" customFormat="1" customHeight="1" spans="1:6">
      <c r="A15" s="114">
        <v>2</v>
      </c>
      <c r="B15" s="115" t="s">
        <v>98</v>
      </c>
      <c r="C15" s="116" t="s">
        <v>60</v>
      </c>
      <c r="D15" s="117">
        <v>0</v>
      </c>
      <c r="E15" s="118">
        <f ca="1" t="shared" si="0"/>
        <v>0</v>
      </c>
      <c r="F15" s="119"/>
    </row>
    <row r="16" s="87" customFormat="1" customHeight="1" spans="1:8">
      <c r="A16" s="114">
        <v>3</v>
      </c>
      <c r="B16" s="115" t="s">
        <v>100</v>
      </c>
      <c r="C16" s="116" t="s">
        <v>60</v>
      </c>
      <c r="D16" s="117">
        <v>0</v>
      </c>
      <c r="E16" s="118">
        <f ca="1" t="shared" si="0"/>
        <v>0</v>
      </c>
      <c r="F16" s="119"/>
      <c r="G16" s="87" t="s">
        <v>109</v>
      </c>
      <c r="H16" s="87" t="s">
        <v>110</v>
      </c>
    </row>
    <row r="17" s="88" customFormat="1" customHeight="1" spans="1:8">
      <c r="A17" s="121">
        <v>4</v>
      </c>
      <c r="B17" s="122" t="s">
        <v>111</v>
      </c>
      <c r="C17" s="123" t="s">
        <v>60</v>
      </c>
      <c r="D17" s="117">
        <f ca="1">E18+E19</f>
        <v>2.01216</v>
      </c>
      <c r="E17" s="118">
        <f ca="1" t="shared" si="0"/>
        <v>2.01216</v>
      </c>
      <c r="F17" s="124"/>
      <c r="G17" s="88">
        <f>2.45/0.15</f>
        <v>16.3333333333333</v>
      </c>
      <c r="H17" s="88">
        <f>2.1/0.15</f>
        <v>14</v>
      </c>
    </row>
    <row r="18" s="88" customFormat="1" customHeight="1" spans="1:6">
      <c r="A18" s="121"/>
      <c r="B18" s="122" t="s">
        <v>66</v>
      </c>
      <c r="C18" s="123" t="s">
        <v>60</v>
      </c>
      <c r="D18" s="117" t="s">
        <v>112</v>
      </c>
      <c r="E18" s="118">
        <f ca="1" t="shared" si="0"/>
        <v>1.0752</v>
      </c>
      <c r="F18" s="124"/>
    </row>
    <row r="19" s="88" customFormat="1" customHeight="1" spans="1:6">
      <c r="A19" s="121"/>
      <c r="B19" s="122" t="s">
        <v>56</v>
      </c>
      <c r="C19" s="123" t="s">
        <v>60</v>
      </c>
      <c r="D19" s="117" t="s">
        <v>113</v>
      </c>
      <c r="E19" s="118">
        <f ca="1" t="shared" si="0"/>
        <v>0.93696</v>
      </c>
      <c r="F19" s="124"/>
    </row>
    <row r="20" s="87" customFormat="1" customHeight="1" spans="1:8">
      <c r="A20" s="114">
        <v>5</v>
      </c>
      <c r="B20" s="115" t="s">
        <v>114</v>
      </c>
      <c r="C20" s="123" t="s">
        <v>60</v>
      </c>
      <c r="D20" s="117">
        <f ca="1">E21+E22</f>
        <v>0.15022</v>
      </c>
      <c r="E20" s="118">
        <f ca="1" t="shared" si="0"/>
        <v>0.15022</v>
      </c>
      <c r="F20" s="119"/>
      <c r="G20" s="87">
        <f>0.83/0.15</f>
        <v>5.53333333333333</v>
      </c>
      <c r="H20" s="87">
        <f>0.82/0.15</f>
        <v>5.46666666666667</v>
      </c>
    </row>
    <row r="21" s="87" customFormat="1" customHeight="1" spans="1:6">
      <c r="A21" s="114"/>
      <c r="B21" s="122" t="s">
        <v>66</v>
      </c>
      <c r="C21" s="123" t="s">
        <v>60</v>
      </c>
      <c r="D21" s="117" t="s">
        <v>115</v>
      </c>
      <c r="E21" s="118">
        <f ca="1" t="shared" si="0"/>
        <v>0.08134</v>
      </c>
      <c r="F21" s="119"/>
    </row>
    <row r="22" s="87" customFormat="1" customHeight="1" spans="1:6">
      <c r="A22" s="114"/>
      <c r="B22" s="115" t="s">
        <v>56</v>
      </c>
      <c r="C22" s="123" t="s">
        <v>60</v>
      </c>
      <c r="D22" s="117" t="s">
        <v>116</v>
      </c>
      <c r="E22" s="118">
        <f ca="1" t="shared" si="0"/>
        <v>0.06888</v>
      </c>
      <c r="F22" s="119"/>
    </row>
    <row r="23" s="87" customFormat="1" customHeight="1" spans="1:8">
      <c r="A23" s="114">
        <v>6</v>
      </c>
      <c r="B23" s="115" t="s">
        <v>117</v>
      </c>
      <c r="C23" s="116" t="s">
        <v>58</v>
      </c>
      <c r="D23" s="117">
        <f ca="1">E24+E25</f>
        <v>0.0398002</v>
      </c>
      <c r="E23" s="125">
        <f ca="1" t="shared" si="0"/>
        <v>0.0398002</v>
      </c>
      <c r="F23" s="119"/>
      <c r="G23" s="87">
        <f>2.45-0.48</f>
        <v>1.97</v>
      </c>
      <c r="H23" s="87">
        <f>2.1-0.48</f>
        <v>1.62</v>
      </c>
    </row>
    <row r="24" s="87" customFormat="1" customHeight="1" spans="1:6">
      <c r="A24" s="114"/>
      <c r="B24" s="115" t="s">
        <v>66</v>
      </c>
      <c r="C24" s="116" t="s">
        <v>58</v>
      </c>
      <c r="D24" s="117" t="s">
        <v>118</v>
      </c>
      <c r="E24" s="125">
        <f ca="1" t="shared" si="0"/>
        <v>0.021409</v>
      </c>
      <c r="F24" s="119"/>
    </row>
    <row r="25" s="87" customFormat="1" customHeight="1" spans="1:6">
      <c r="A25" s="114"/>
      <c r="B25" s="115" t="s">
        <v>56</v>
      </c>
      <c r="C25" s="116" t="s">
        <v>58</v>
      </c>
      <c r="D25" s="117" t="s">
        <v>119</v>
      </c>
      <c r="E25" s="125">
        <f ca="1" t="shared" si="0"/>
        <v>0.0183912</v>
      </c>
      <c r="F25" s="119"/>
    </row>
    <row r="26" s="89" customFormat="1" customHeight="1" spans="1:8">
      <c r="A26" s="114">
        <v>7</v>
      </c>
      <c r="B26" s="115" t="s">
        <v>120</v>
      </c>
      <c r="C26" s="114" t="s">
        <v>121</v>
      </c>
      <c r="D26" s="126">
        <f ca="1">E27+E28</f>
        <v>18.8224</v>
      </c>
      <c r="E26" s="118">
        <f ca="1" t="shared" si="0"/>
        <v>18.8224</v>
      </c>
      <c r="F26" s="127"/>
      <c r="G26" s="89">
        <f>0.83-0.48</f>
        <v>0.35</v>
      </c>
      <c r="H26" s="89">
        <f>0.82-0.48</f>
        <v>0.34</v>
      </c>
    </row>
    <row r="27" s="89" customFormat="1" customHeight="1" spans="1:6">
      <c r="A27" s="114"/>
      <c r="B27" s="122" t="s">
        <v>66</v>
      </c>
      <c r="C27" s="114" t="s">
        <v>121</v>
      </c>
      <c r="D27" s="126" t="s">
        <v>122</v>
      </c>
      <c r="E27" s="118">
        <f ca="1" t="shared" si="0"/>
        <v>10.0736</v>
      </c>
      <c r="F27" s="127"/>
    </row>
    <row r="28" s="89" customFormat="1" customHeight="1" spans="1:6">
      <c r="A28" s="114"/>
      <c r="B28" s="115" t="s">
        <v>56</v>
      </c>
      <c r="C28" s="114" t="s">
        <v>121</v>
      </c>
      <c r="D28" s="126" t="s">
        <v>123</v>
      </c>
      <c r="E28" s="118">
        <f ca="1" t="shared" si="0"/>
        <v>8.7488</v>
      </c>
      <c r="F28" s="127"/>
    </row>
    <row r="29" s="87" customFormat="1" customHeight="1" spans="1:6">
      <c r="A29" s="114">
        <v>8</v>
      </c>
      <c r="B29" s="115" t="s">
        <v>124</v>
      </c>
      <c r="C29" s="116" t="s">
        <v>58</v>
      </c>
      <c r="D29" s="117">
        <v>0</v>
      </c>
      <c r="E29" s="118">
        <f ca="1" t="shared" si="0"/>
        <v>0</v>
      </c>
      <c r="F29" s="119"/>
    </row>
    <row r="30" s="87" customFormat="1" customHeight="1" spans="1:6">
      <c r="A30" s="114">
        <v>9</v>
      </c>
      <c r="B30" s="115" t="s">
        <v>125</v>
      </c>
      <c r="C30" s="116" t="s">
        <v>60</v>
      </c>
      <c r="D30" s="117">
        <f ca="1">E31+E32</f>
        <v>0.37555</v>
      </c>
      <c r="E30" s="118">
        <f ca="1" t="shared" si="0"/>
        <v>0.37555</v>
      </c>
      <c r="F30" s="119"/>
    </row>
    <row r="31" s="87" customFormat="1" customHeight="1" spans="1:6">
      <c r="A31" s="114"/>
      <c r="B31" s="122" t="s">
        <v>66</v>
      </c>
      <c r="C31" s="116" t="s">
        <v>60</v>
      </c>
      <c r="D31" s="117" t="s">
        <v>126</v>
      </c>
      <c r="E31" s="118">
        <f ca="1" t="shared" si="0"/>
        <v>0.20335</v>
      </c>
      <c r="F31" s="119"/>
    </row>
    <row r="32" s="87" customFormat="1" customHeight="1" spans="1:6">
      <c r="A32" s="114"/>
      <c r="B32" s="115" t="s">
        <v>56</v>
      </c>
      <c r="C32" s="116" t="s">
        <v>60</v>
      </c>
      <c r="D32" s="117" t="s">
        <v>127</v>
      </c>
      <c r="E32" s="118">
        <f ca="1" t="shared" si="0"/>
        <v>0.1722</v>
      </c>
      <c r="F32" s="119"/>
    </row>
    <row r="33" s="87" customFormat="1" customHeight="1" spans="1:7">
      <c r="A33" s="114" t="s">
        <v>102</v>
      </c>
      <c r="B33" s="115" t="s">
        <v>128</v>
      </c>
      <c r="C33" s="114" t="s">
        <v>108</v>
      </c>
      <c r="D33" s="117"/>
      <c r="E33" s="118"/>
      <c r="F33" s="119"/>
      <c r="G33" s="87" t="s">
        <v>66</v>
      </c>
    </row>
    <row r="34" customHeight="1" spans="1:10">
      <c r="A34" s="114">
        <v>1</v>
      </c>
      <c r="B34" s="115" t="s">
        <v>96</v>
      </c>
      <c r="C34" s="116" t="s">
        <v>60</v>
      </c>
      <c r="D34" s="117" t="s">
        <v>129</v>
      </c>
      <c r="E34" s="118">
        <f ca="1" t="shared" ref="E33:E43" si="1">EVALUATE(D34)</f>
        <v>60.46388082</v>
      </c>
      <c r="F34" s="119"/>
      <c r="G34" s="86">
        <f>5.48+0.2*2</f>
        <v>5.88</v>
      </c>
      <c r="H34" s="86">
        <f>5.48+0.5*2</f>
        <v>6.48</v>
      </c>
      <c r="I34" s="86">
        <f>(G34+H34)/2</f>
        <v>6.18</v>
      </c>
      <c r="J34" s="86">
        <f>I34/2</f>
        <v>3.09</v>
      </c>
    </row>
    <row r="35" customHeight="1" spans="1:9">
      <c r="A35" s="114">
        <v>2</v>
      </c>
      <c r="B35" s="115" t="s">
        <v>98</v>
      </c>
      <c r="C35" s="116" t="s">
        <v>60</v>
      </c>
      <c r="D35" s="117" t="s">
        <v>130</v>
      </c>
      <c r="E35" s="118">
        <f ca="1" t="shared" si="1"/>
        <v>25.91309178</v>
      </c>
      <c r="F35" s="119"/>
      <c r="G35" s="86">
        <f>G34/2</f>
        <v>2.94</v>
      </c>
      <c r="H35" s="86">
        <f>5.48/2</f>
        <v>2.74</v>
      </c>
      <c r="I35" s="86">
        <f>2.56*2</f>
        <v>5.12</v>
      </c>
    </row>
    <row r="36" customHeight="1" spans="1:8">
      <c r="A36" s="114">
        <v>3</v>
      </c>
      <c r="B36" s="115" t="s">
        <v>100</v>
      </c>
      <c r="C36" s="116" t="s">
        <v>60</v>
      </c>
      <c r="D36" s="117" t="s">
        <v>131</v>
      </c>
      <c r="E36" s="118">
        <f ca="1" t="shared" si="1"/>
        <v>17.299359</v>
      </c>
      <c r="F36" s="119"/>
      <c r="H36" s="86">
        <f>5.24/2</f>
        <v>2.62</v>
      </c>
    </row>
    <row r="37" customHeight="1" spans="1:6">
      <c r="A37" s="114">
        <v>4</v>
      </c>
      <c r="B37" s="115" t="s">
        <v>132</v>
      </c>
      <c r="C37" s="116" t="s">
        <v>60</v>
      </c>
      <c r="D37" s="117" t="s">
        <v>133</v>
      </c>
      <c r="E37" s="118">
        <f ca="1" t="shared" si="1"/>
        <v>6.4662648</v>
      </c>
      <c r="F37" s="119"/>
    </row>
    <row r="38" ht="24" spans="1:7">
      <c r="A38" s="114">
        <v>5</v>
      </c>
      <c r="B38" s="115" t="s">
        <v>134</v>
      </c>
      <c r="C38" s="116" t="s">
        <v>60</v>
      </c>
      <c r="D38" s="117" t="s">
        <v>135</v>
      </c>
      <c r="E38" s="118">
        <f ca="1" t="shared" si="1"/>
        <v>9.2961303</v>
      </c>
      <c r="F38" s="119" t="s">
        <v>136</v>
      </c>
      <c r="G38" s="86">
        <f>5.48+5.48-0.37</f>
        <v>10.59</v>
      </c>
    </row>
    <row r="39" customHeight="1" spans="1:6">
      <c r="A39" s="114">
        <v>6</v>
      </c>
      <c r="B39" s="115" t="s">
        <v>137</v>
      </c>
      <c r="C39" s="116" t="s">
        <v>121</v>
      </c>
      <c r="D39" s="117" t="s">
        <v>138</v>
      </c>
      <c r="E39" s="118">
        <f ca="1" t="shared" si="1"/>
        <v>23.53556</v>
      </c>
      <c r="F39" s="119"/>
    </row>
    <row r="40" customHeight="1" spans="1:6">
      <c r="A40" s="114">
        <v>7</v>
      </c>
      <c r="B40" s="115" t="s">
        <v>139</v>
      </c>
      <c r="C40" s="116" t="s">
        <v>58</v>
      </c>
      <c r="D40" s="117">
        <f ca="1">E41+E42</f>
        <v>0.88900968</v>
      </c>
      <c r="E40" s="128">
        <f ca="1" t="shared" si="1"/>
        <v>0.88900968</v>
      </c>
      <c r="F40" s="119"/>
    </row>
    <row r="41" customHeight="1" spans="1:6">
      <c r="A41" s="114"/>
      <c r="B41" s="115" t="s">
        <v>140</v>
      </c>
      <c r="C41" s="116"/>
      <c r="D41" s="117" t="s">
        <v>141</v>
      </c>
      <c r="E41" s="128">
        <f ca="1" t="shared" si="1"/>
        <v>0.78065308</v>
      </c>
      <c r="F41" s="119"/>
    </row>
    <row r="42" customHeight="1" spans="1:8">
      <c r="A42" s="114"/>
      <c r="B42" s="115" t="s">
        <v>142</v>
      </c>
      <c r="C42" s="116"/>
      <c r="D42" s="117" t="s">
        <v>143</v>
      </c>
      <c r="E42" s="128">
        <f ca="1" t="shared" si="1"/>
        <v>0.1083566</v>
      </c>
      <c r="F42" s="119"/>
      <c r="G42" s="86">
        <f>10.59/0.15</f>
        <v>70.6</v>
      </c>
      <c r="H42" s="86">
        <f>(0.3-0.025*2+0.3-0.025*2)*2+11.9*0.008+8*0.008</f>
        <v>1.1592</v>
      </c>
    </row>
    <row r="43" customHeight="1" spans="1:6">
      <c r="A43" s="114">
        <v>8</v>
      </c>
      <c r="B43" s="115" t="s">
        <v>120</v>
      </c>
      <c r="C43" s="114" t="s">
        <v>121</v>
      </c>
      <c r="D43" s="117" t="s">
        <v>144</v>
      </c>
      <c r="E43" s="118">
        <f ca="1" t="shared" si="1"/>
        <v>63.485184</v>
      </c>
      <c r="F43" s="119"/>
    </row>
    <row r="44" customHeight="1" spans="1:6">
      <c r="A44" s="114">
        <v>9</v>
      </c>
      <c r="B44" s="115" t="s">
        <v>145</v>
      </c>
      <c r="C44" s="114" t="s">
        <v>121</v>
      </c>
      <c r="D44" s="117" t="s">
        <v>146</v>
      </c>
      <c r="E44" s="118">
        <f ca="1" t="shared" ref="E43:E58" si="2">EVALUATE(D44)</f>
        <v>10.32432</v>
      </c>
      <c r="F44" s="119"/>
    </row>
    <row r="45" ht="24" spans="1:6">
      <c r="A45" s="114">
        <v>10</v>
      </c>
      <c r="B45" s="115" t="s">
        <v>111</v>
      </c>
      <c r="C45" s="116" t="s">
        <v>60</v>
      </c>
      <c r="D45" s="117" t="s">
        <v>147</v>
      </c>
      <c r="E45" s="118">
        <f ca="1" t="shared" si="2"/>
        <v>12.7149483</v>
      </c>
      <c r="F45" s="119" t="s">
        <v>148</v>
      </c>
    </row>
    <row r="46" customHeight="1" spans="1:6">
      <c r="A46" s="114">
        <v>11</v>
      </c>
      <c r="B46" s="115" t="s">
        <v>149</v>
      </c>
      <c r="C46" s="116" t="s">
        <v>58</v>
      </c>
      <c r="D46" s="117">
        <v>0.01</v>
      </c>
      <c r="E46" s="118">
        <f ca="1" t="shared" si="2"/>
        <v>0.01</v>
      </c>
      <c r="F46" s="119"/>
    </row>
    <row r="47" customHeight="1" spans="1:6">
      <c r="A47" s="114">
        <v>12</v>
      </c>
      <c r="B47" s="115" t="s">
        <v>150</v>
      </c>
      <c r="C47" s="116" t="s">
        <v>151</v>
      </c>
      <c r="D47" s="117">
        <v>1</v>
      </c>
      <c r="E47" s="118">
        <f ca="1" t="shared" si="2"/>
        <v>1</v>
      </c>
      <c r="F47" s="119"/>
    </row>
    <row r="48" customHeight="1" spans="1:6">
      <c r="A48" s="114">
        <v>13</v>
      </c>
      <c r="B48" s="115" t="s">
        <v>124</v>
      </c>
      <c r="C48" s="116" t="s">
        <v>58</v>
      </c>
      <c r="D48" s="117">
        <v>0</v>
      </c>
      <c r="E48" s="118">
        <f ca="1" t="shared" si="2"/>
        <v>0</v>
      </c>
      <c r="F48" s="119"/>
    </row>
    <row r="49" customHeight="1" spans="1:7">
      <c r="A49" s="114" t="s">
        <v>152</v>
      </c>
      <c r="B49" s="115" t="s">
        <v>153</v>
      </c>
      <c r="C49" s="114" t="s">
        <v>108</v>
      </c>
      <c r="D49" s="117"/>
      <c r="E49" s="118"/>
      <c r="F49" s="119" t="s">
        <v>154</v>
      </c>
      <c r="G49" s="86" t="s">
        <v>56</v>
      </c>
    </row>
    <row r="50" customHeight="1" spans="1:10">
      <c r="A50" s="114">
        <v>1</v>
      </c>
      <c r="B50" s="115" t="s">
        <v>96</v>
      </c>
      <c r="C50" s="116" t="s">
        <v>60</v>
      </c>
      <c r="D50" s="117" t="s">
        <v>155</v>
      </c>
      <c r="E50" s="118">
        <f ca="1" t="shared" si="2"/>
        <v>83.10417101</v>
      </c>
      <c r="F50" s="119"/>
      <c r="G50" s="86">
        <f>6.48+0.2*2</f>
        <v>6.88</v>
      </c>
      <c r="H50" s="86">
        <f>6.48+0.5*2</f>
        <v>7.48</v>
      </c>
      <c r="I50" s="86">
        <f>(G50+H50)/2</f>
        <v>7.18</v>
      </c>
      <c r="J50" s="86">
        <f>I50/2</f>
        <v>3.59</v>
      </c>
    </row>
    <row r="51" customHeight="1" spans="1:9">
      <c r="A51" s="114">
        <v>2</v>
      </c>
      <c r="B51" s="115" t="s">
        <v>98</v>
      </c>
      <c r="C51" s="116" t="s">
        <v>60</v>
      </c>
      <c r="D51" s="117" t="s">
        <v>156</v>
      </c>
      <c r="E51" s="118">
        <f ca="1" t="shared" si="2"/>
        <v>35.61607329</v>
      </c>
      <c r="F51" s="119"/>
      <c r="G51" s="86">
        <f>G50/2</f>
        <v>3.44</v>
      </c>
      <c r="H51" s="86">
        <f>6.48/2</f>
        <v>3.24</v>
      </c>
      <c r="I51" s="86">
        <f>2.56*2</f>
        <v>5.12</v>
      </c>
    </row>
    <row r="52" customHeight="1" spans="1:8">
      <c r="A52" s="114">
        <v>3</v>
      </c>
      <c r="B52" s="115" t="s">
        <v>100</v>
      </c>
      <c r="C52" s="116" t="s">
        <v>60</v>
      </c>
      <c r="D52" s="117" t="s">
        <v>157</v>
      </c>
      <c r="E52" s="118">
        <f ca="1" t="shared" si="2"/>
        <v>20.6419675</v>
      </c>
      <c r="F52" s="119"/>
      <c r="H52" s="86">
        <f>6.24/2</f>
        <v>3.12</v>
      </c>
    </row>
    <row r="53" customHeight="1" spans="1:6">
      <c r="A53" s="114">
        <v>4</v>
      </c>
      <c r="B53" s="115" t="s">
        <v>132</v>
      </c>
      <c r="C53" s="116" t="s">
        <v>60</v>
      </c>
      <c r="D53" s="117" t="s">
        <v>158</v>
      </c>
      <c r="E53" s="118">
        <f ca="1" t="shared" si="2"/>
        <v>7.641504</v>
      </c>
      <c r="F53" s="119"/>
    </row>
    <row r="54" ht="24" spans="1:7">
      <c r="A54" s="114">
        <v>5</v>
      </c>
      <c r="B54" s="115" t="s">
        <v>134</v>
      </c>
      <c r="C54" s="116" t="s">
        <v>60</v>
      </c>
      <c r="D54" s="117" t="s">
        <v>159</v>
      </c>
      <c r="E54" s="118">
        <f ca="1" t="shared" si="2"/>
        <v>9.4009528</v>
      </c>
      <c r="F54" s="119" t="s">
        <v>136</v>
      </c>
      <c r="G54" s="86">
        <f>6.48+6.48-0.37</f>
        <v>12.59</v>
      </c>
    </row>
    <row r="55" customHeight="1" spans="1:8">
      <c r="A55" s="114">
        <v>6</v>
      </c>
      <c r="B55" s="115" t="s">
        <v>137</v>
      </c>
      <c r="C55" s="116" t="s">
        <v>121</v>
      </c>
      <c r="D55" s="117" t="s">
        <v>160</v>
      </c>
      <c r="E55" s="118">
        <f ca="1" t="shared" si="2"/>
        <v>33.34256</v>
      </c>
      <c r="F55" s="119"/>
      <c r="G55" s="86">
        <f>12.59/0.15</f>
        <v>83.9333333333333</v>
      </c>
      <c r="H55" s="86">
        <f>(0.3-0.025*2+0.3-0.025*2)*2+11.9*0.008+8*0.008</f>
        <v>1.1592</v>
      </c>
    </row>
    <row r="56" customHeight="1" spans="1:6">
      <c r="A56" s="114">
        <v>7</v>
      </c>
      <c r="B56" s="115" t="s">
        <v>139</v>
      </c>
      <c r="C56" s="116" t="s">
        <v>58</v>
      </c>
      <c r="D56" s="117">
        <f ca="1">E57+E58</f>
        <v>1.22054756</v>
      </c>
      <c r="E56" s="128">
        <f ca="1" t="shared" si="2"/>
        <v>1.22054756</v>
      </c>
      <c r="F56" s="119"/>
    </row>
    <row r="57" customHeight="1" spans="1:6">
      <c r="A57" s="114"/>
      <c r="B57" s="115" t="s">
        <v>140</v>
      </c>
      <c r="C57" s="116" t="s">
        <v>58</v>
      </c>
      <c r="D57" s="117" t="s">
        <v>161</v>
      </c>
      <c r="E57" s="125">
        <f ca="1" t="shared" si="2"/>
        <v>1.10139436</v>
      </c>
      <c r="F57" s="119"/>
    </row>
    <row r="58" customHeight="1" spans="1:6">
      <c r="A58" s="114"/>
      <c r="B58" s="115" t="s">
        <v>142</v>
      </c>
      <c r="C58" s="116" t="s">
        <v>58</v>
      </c>
      <c r="D58" s="117" t="s">
        <v>162</v>
      </c>
      <c r="E58" s="125">
        <f ca="1" t="shared" si="2"/>
        <v>0.1191532</v>
      </c>
      <c r="F58" s="119"/>
    </row>
    <row r="59" ht="24" spans="1:6">
      <c r="A59" s="114">
        <v>8</v>
      </c>
      <c r="B59" s="115" t="s">
        <v>120</v>
      </c>
      <c r="C59" s="114" t="s">
        <v>121</v>
      </c>
      <c r="D59" s="117" t="s">
        <v>163</v>
      </c>
      <c r="E59" s="118">
        <f ca="1" t="shared" ref="E59:E65" si="3">EVALUATE(D59)</f>
        <v>62.964464</v>
      </c>
      <c r="F59" s="119"/>
    </row>
    <row r="60" customHeight="1" spans="1:6">
      <c r="A60" s="114">
        <v>9</v>
      </c>
      <c r="B60" s="115" t="s">
        <v>145</v>
      </c>
      <c r="C60" s="114" t="s">
        <v>121</v>
      </c>
      <c r="D60" s="117" t="s">
        <v>164</v>
      </c>
      <c r="E60" s="118">
        <f ca="1" t="shared" si="3"/>
        <v>5.0868</v>
      </c>
      <c r="F60" s="119"/>
    </row>
    <row r="61" ht="24" spans="1:6">
      <c r="A61" s="114">
        <v>10</v>
      </c>
      <c r="B61" s="115" t="s">
        <v>111</v>
      </c>
      <c r="C61" s="116" t="s">
        <v>60</v>
      </c>
      <c r="D61" s="117" t="s">
        <v>165</v>
      </c>
      <c r="E61" s="118">
        <f ca="1" t="shared" si="3"/>
        <v>13.76032625</v>
      </c>
      <c r="F61" s="119" t="s">
        <v>148</v>
      </c>
    </row>
    <row r="62" customHeight="1" spans="1:6">
      <c r="A62" s="114">
        <v>11</v>
      </c>
      <c r="B62" s="115" t="s">
        <v>149</v>
      </c>
      <c r="C62" s="116" t="s">
        <v>58</v>
      </c>
      <c r="D62" s="117">
        <v>0.01</v>
      </c>
      <c r="E62" s="118">
        <f ca="1" t="shared" si="3"/>
        <v>0.01</v>
      </c>
      <c r="F62" s="119"/>
    </row>
    <row r="63" customHeight="1" spans="1:6">
      <c r="A63" s="114">
        <v>12</v>
      </c>
      <c r="B63" s="115" t="s">
        <v>150</v>
      </c>
      <c r="C63" s="116" t="s">
        <v>151</v>
      </c>
      <c r="D63" s="117">
        <v>1</v>
      </c>
      <c r="E63" s="118">
        <f ca="1" t="shared" si="3"/>
        <v>1</v>
      </c>
      <c r="F63" s="119"/>
    </row>
    <row r="64" customHeight="1" spans="1:6">
      <c r="A64" s="114">
        <v>13</v>
      </c>
      <c r="B64" s="115" t="s">
        <v>124</v>
      </c>
      <c r="C64" s="116" t="s">
        <v>58</v>
      </c>
      <c r="D64" s="117">
        <v>0</v>
      </c>
      <c r="E64" s="118">
        <f ca="1" t="shared" si="3"/>
        <v>0</v>
      </c>
      <c r="F64" s="119"/>
    </row>
    <row r="65" customHeight="1" spans="1:6">
      <c r="A65" s="114" t="s">
        <v>166</v>
      </c>
      <c r="B65" s="115" t="s">
        <v>167</v>
      </c>
      <c r="C65" s="116" t="s">
        <v>168</v>
      </c>
      <c r="D65" s="117"/>
      <c r="E65" s="118"/>
      <c r="F65" s="119"/>
    </row>
    <row r="66" ht="22" customHeight="1" spans="1:6">
      <c r="A66" s="114">
        <v>1</v>
      </c>
      <c r="B66" s="115" t="s">
        <v>169</v>
      </c>
      <c r="C66" s="116" t="s">
        <v>60</v>
      </c>
      <c r="D66" s="117">
        <f ca="1">E67+E68</f>
        <v>4.0169836</v>
      </c>
      <c r="E66" s="118">
        <f ca="1" t="shared" ref="E66:E71" si="4">EVALUATE(D66)</f>
        <v>4.0169836</v>
      </c>
      <c r="F66" s="119"/>
    </row>
    <row r="67" ht="22" customHeight="1" spans="1:6">
      <c r="A67" s="114"/>
      <c r="B67" s="115" t="s">
        <v>66</v>
      </c>
      <c r="C67" s="116"/>
      <c r="D67" s="117" t="s">
        <v>170</v>
      </c>
      <c r="E67" s="118">
        <f ca="1" t="shared" si="4"/>
        <v>1.3135068</v>
      </c>
      <c r="F67" s="119"/>
    </row>
    <row r="68" ht="22" customHeight="1" spans="1:6">
      <c r="A68" s="114"/>
      <c r="B68" s="115" t="s">
        <v>56</v>
      </c>
      <c r="C68" s="116"/>
      <c r="D68" s="117" t="s">
        <v>171</v>
      </c>
      <c r="E68" s="118">
        <f ca="1" t="shared" si="4"/>
        <v>2.7034768</v>
      </c>
      <c r="F68" s="119"/>
    </row>
    <row r="69" ht="22" customHeight="1" spans="1:6">
      <c r="A69" s="114">
        <v>2</v>
      </c>
      <c r="B69" s="115" t="s">
        <v>172</v>
      </c>
      <c r="C69" s="116" t="s">
        <v>60</v>
      </c>
      <c r="D69" s="117">
        <f ca="1">E70+E71</f>
        <v>12.0509508</v>
      </c>
      <c r="E69" s="118">
        <f ca="1" t="shared" si="4"/>
        <v>12.0509508</v>
      </c>
      <c r="F69" s="119"/>
    </row>
    <row r="70" ht="22" customHeight="1" spans="1:6">
      <c r="A70" s="114"/>
      <c r="B70" s="115" t="s">
        <v>66</v>
      </c>
      <c r="C70" s="116"/>
      <c r="D70" s="117" t="s">
        <v>173</v>
      </c>
      <c r="E70" s="118">
        <f ca="1" t="shared" si="4"/>
        <v>3.9405204</v>
      </c>
      <c r="F70" s="119"/>
    </row>
    <row r="71" ht="22" customHeight="1" spans="1:6">
      <c r="A71" s="114"/>
      <c r="B71" s="115" t="s">
        <v>56</v>
      </c>
      <c r="C71" s="116"/>
      <c r="D71" s="117" t="s">
        <v>174</v>
      </c>
      <c r="E71" s="118">
        <f ca="1" t="shared" si="4"/>
        <v>8.1104304</v>
      </c>
      <c r="F71" s="119"/>
    </row>
    <row r="72" ht="22" customHeight="1" spans="1:6">
      <c r="A72" s="114">
        <v>3</v>
      </c>
      <c r="B72" s="115" t="s">
        <v>175</v>
      </c>
      <c r="C72" s="116" t="s">
        <v>58</v>
      </c>
      <c r="D72" s="117">
        <v>0</v>
      </c>
      <c r="E72" s="118">
        <f ca="1" t="shared" ref="E72:E101" si="5">EVALUATE(D72)</f>
        <v>0</v>
      </c>
      <c r="F72" s="119"/>
    </row>
    <row r="73" customHeight="1" spans="1:6">
      <c r="A73" s="114" t="s">
        <v>176</v>
      </c>
      <c r="B73" s="115" t="s">
        <v>177</v>
      </c>
      <c r="C73" s="116" t="s">
        <v>121</v>
      </c>
      <c r="D73" s="117"/>
      <c r="E73" s="118"/>
      <c r="F73" s="119"/>
    </row>
    <row r="74" customHeight="1" spans="1:6">
      <c r="A74" s="114">
        <v>1</v>
      </c>
      <c r="B74" s="115" t="s">
        <v>177</v>
      </c>
      <c r="C74" s="116" t="s">
        <v>121</v>
      </c>
      <c r="D74" s="117" t="s">
        <v>178</v>
      </c>
      <c r="E74" s="118">
        <f ca="1" t="shared" si="5"/>
        <v>52.120232</v>
      </c>
      <c r="F74" s="119"/>
    </row>
    <row r="75" customHeight="1" spans="1:6">
      <c r="A75" s="114" t="s">
        <v>179</v>
      </c>
      <c r="B75" s="115" t="s">
        <v>180</v>
      </c>
      <c r="C75" s="116" t="s">
        <v>168</v>
      </c>
      <c r="D75" s="117"/>
      <c r="E75" s="118"/>
      <c r="F75" s="119"/>
    </row>
    <row r="76" customHeight="1" spans="1:6">
      <c r="A76" s="114">
        <v>1</v>
      </c>
      <c r="B76" s="115" t="s">
        <v>96</v>
      </c>
      <c r="C76" s="116" t="s">
        <v>60</v>
      </c>
      <c r="D76" s="117">
        <v>0</v>
      </c>
      <c r="E76" s="118">
        <f ca="1" t="shared" si="5"/>
        <v>0</v>
      </c>
      <c r="F76" s="119"/>
    </row>
    <row r="77" customHeight="1" spans="1:6">
      <c r="A77" s="114">
        <v>2</v>
      </c>
      <c r="B77" s="115" t="s">
        <v>98</v>
      </c>
      <c r="C77" s="116" t="s">
        <v>60</v>
      </c>
      <c r="D77" s="117">
        <v>0</v>
      </c>
      <c r="E77" s="118">
        <f ca="1" t="shared" si="5"/>
        <v>0</v>
      </c>
      <c r="F77" s="119"/>
    </row>
    <row r="78" customHeight="1" spans="1:6">
      <c r="A78" s="114">
        <v>3</v>
      </c>
      <c r="B78" s="115" t="s">
        <v>100</v>
      </c>
      <c r="C78" s="116" t="s">
        <v>60</v>
      </c>
      <c r="D78" s="117">
        <f ca="1">E79+E80</f>
        <v>30.6559828</v>
      </c>
      <c r="E78" s="118">
        <f ca="1" t="shared" si="5"/>
        <v>30.6559828</v>
      </c>
      <c r="F78" s="119"/>
    </row>
    <row r="79" ht="36" spans="1:6">
      <c r="A79" s="114"/>
      <c r="B79" s="115" t="s">
        <v>181</v>
      </c>
      <c r="C79" s="116" t="s">
        <v>60</v>
      </c>
      <c r="D79" s="117" t="s">
        <v>182</v>
      </c>
      <c r="E79" s="118">
        <f ca="1" t="shared" si="5"/>
        <v>8.7371748</v>
      </c>
      <c r="F79" s="119"/>
    </row>
    <row r="80" ht="36" spans="1:6">
      <c r="A80" s="114"/>
      <c r="B80" s="115" t="s">
        <v>183</v>
      </c>
      <c r="C80" s="116" t="s">
        <v>60</v>
      </c>
      <c r="D80" s="117" t="s">
        <v>184</v>
      </c>
      <c r="E80" s="118">
        <f ca="1" t="shared" si="5"/>
        <v>21.918808</v>
      </c>
      <c r="F80" s="119"/>
    </row>
    <row r="81" ht="13.5" spans="1:6">
      <c r="A81" s="114">
        <v>4</v>
      </c>
      <c r="B81" s="115" t="s">
        <v>185</v>
      </c>
      <c r="C81" s="116" t="s">
        <v>60</v>
      </c>
      <c r="D81" s="117">
        <f ca="1">E83+E82+E84+E85</f>
        <v>9.51696</v>
      </c>
      <c r="E81" s="118">
        <f ca="1" t="shared" si="5"/>
        <v>9.51696</v>
      </c>
      <c r="F81" s="119"/>
    </row>
    <row r="82" ht="13.5" spans="1:6">
      <c r="A82" s="114"/>
      <c r="B82" s="115" t="s">
        <v>186</v>
      </c>
      <c r="C82" s="116" t="s">
        <v>60</v>
      </c>
      <c r="D82" s="117" t="s">
        <v>187</v>
      </c>
      <c r="E82" s="118">
        <f ca="1" t="shared" si="5"/>
        <v>3.49056</v>
      </c>
      <c r="F82" s="119"/>
    </row>
    <row r="83" ht="13.5" spans="1:6">
      <c r="A83" s="114"/>
      <c r="B83" s="115" t="s">
        <v>188</v>
      </c>
      <c r="C83" s="116" t="s">
        <v>60</v>
      </c>
      <c r="D83" s="117" t="s">
        <v>189</v>
      </c>
      <c r="E83" s="118">
        <f ca="1" t="shared" si="5"/>
        <v>3.276</v>
      </c>
      <c r="F83" s="119"/>
    </row>
    <row r="84" ht="13.5" spans="1:6">
      <c r="A84" s="114"/>
      <c r="B84" s="115" t="s">
        <v>190</v>
      </c>
      <c r="C84" s="116" t="s">
        <v>60</v>
      </c>
      <c r="D84" s="117" t="s">
        <v>191</v>
      </c>
      <c r="E84" s="118">
        <f ca="1" t="shared" si="5"/>
        <v>1.8</v>
      </c>
      <c r="F84" s="119"/>
    </row>
    <row r="85" ht="13.5" spans="1:6">
      <c r="A85" s="114"/>
      <c r="B85" s="115" t="s">
        <v>192</v>
      </c>
      <c r="C85" s="116" t="s">
        <v>60</v>
      </c>
      <c r="D85" s="117" t="s">
        <v>193</v>
      </c>
      <c r="E85" s="118">
        <f ca="1" t="shared" si="5"/>
        <v>0.9504</v>
      </c>
      <c r="F85" s="119"/>
    </row>
    <row r="86" customHeight="1" spans="1:8">
      <c r="A86" s="114">
        <v>5</v>
      </c>
      <c r="B86" s="115" t="s">
        <v>194</v>
      </c>
      <c r="C86" s="116" t="s">
        <v>60</v>
      </c>
      <c r="D86" s="117">
        <f ca="1">E87+E88</f>
        <v>4.0608</v>
      </c>
      <c r="E86" s="118">
        <f ca="1" t="shared" si="5"/>
        <v>4.0608</v>
      </c>
      <c r="F86" s="119"/>
      <c r="G86" s="86">
        <f>(9.46+9.2-0.3*2)*2</f>
        <v>36.12</v>
      </c>
      <c r="H86" s="86">
        <f>(6.8+7.33-0.3*2)*2</f>
        <v>27.06</v>
      </c>
    </row>
    <row r="87" customHeight="1" spans="1:6">
      <c r="A87" s="114"/>
      <c r="B87" s="115" t="s">
        <v>66</v>
      </c>
      <c r="C87" s="116"/>
      <c r="D87" s="117" t="s">
        <v>195</v>
      </c>
      <c r="E87" s="118">
        <f ca="1" t="shared" si="5"/>
        <v>2.4354</v>
      </c>
      <c r="F87" s="119"/>
    </row>
    <row r="88" customHeight="1" spans="1:6">
      <c r="A88" s="114"/>
      <c r="B88" s="115" t="s">
        <v>56</v>
      </c>
      <c r="C88" s="116"/>
      <c r="D88" s="117" t="s">
        <v>196</v>
      </c>
      <c r="E88" s="118">
        <f ca="1" t="shared" si="5"/>
        <v>1.6254</v>
      </c>
      <c r="F88" s="119"/>
    </row>
    <row r="89" ht="13.5" spans="1:9">
      <c r="A89" s="114">
        <v>6</v>
      </c>
      <c r="B89" s="115" t="s">
        <v>139</v>
      </c>
      <c r="C89" s="114" t="s">
        <v>58</v>
      </c>
      <c r="D89" s="130">
        <f ca="1">E90+E91</f>
        <v>0.41446464</v>
      </c>
      <c r="E89" s="118">
        <f ca="1" t="shared" si="5"/>
        <v>0.41446464</v>
      </c>
      <c r="F89" s="119"/>
      <c r="G89" s="86">
        <f>G86/0.15</f>
        <v>240.8</v>
      </c>
      <c r="H89" s="86">
        <f>H86/0.15</f>
        <v>180.4</v>
      </c>
      <c r="I89" s="86">
        <f>(0.3-0.025*2+0.3-0.025*2)*2+11.9*0.008+8*0.008</f>
        <v>1.1592</v>
      </c>
    </row>
    <row r="90" ht="13.5" spans="1:6">
      <c r="A90" s="114"/>
      <c r="B90" s="115" t="s">
        <v>197</v>
      </c>
      <c r="C90" s="114" t="s">
        <v>58</v>
      </c>
      <c r="D90" s="117" t="s">
        <v>198</v>
      </c>
      <c r="E90" s="128">
        <f ca="1" t="shared" si="5"/>
        <v>0.17758152</v>
      </c>
      <c r="F90" s="119"/>
    </row>
    <row r="91" ht="13.5" spans="1:6">
      <c r="A91" s="114"/>
      <c r="B91" s="115" t="s">
        <v>199</v>
      </c>
      <c r="C91" s="114" t="s">
        <v>58</v>
      </c>
      <c r="D91" s="117" t="s">
        <v>200</v>
      </c>
      <c r="E91" s="128">
        <f ca="1" t="shared" si="5"/>
        <v>0.23688312</v>
      </c>
      <c r="F91" s="119"/>
    </row>
    <row r="92" customHeight="1" spans="1:7">
      <c r="A92" s="114">
        <v>7</v>
      </c>
      <c r="B92" s="115" t="s">
        <v>201</v>
      </c>
      <c r="C92" s="116" t="s">
        <v>121</v>
      </c>
      <c r="D92" s="117">
        <f ca="1">E93+E94</f>
        <v>29.43</v>
      </c>
      <c r="E92" s="118">
        <f ca="1" t="shared" si="5"/>
        <v>29.43</v>
      </c>
      <c r="F92" s="119"/>
      <c r="G92" s="86">
        <f>6.8-0.48</f>
        <v>6.32</v>
      </c>
    </row>
    <row r="93" customHeight="1" spans="1:6">
      <c r="A93" s="114"/>
      <c r="B93" s="115" t="s">
        <v>66</v>
      </c>
      <c r="C93" s="116"/>
      <c r="D93" s="117" t="s">
        <v>202</v>
      </c>
      <c r="E93" s="118">
        <f ca="1" t="shared" si="5"/>
        <v>8.904</v>
      </c>
      <c r="F93" s="119"/>
    </row>
    <row r="94" customHeight="1" spans="1:6">
      <c r="A94" s="114"/>
      <c r="B94" s="115" t="s">
        <v>56</v>
      </c>
      <c r="C94" s="116"/>
      <c r="D94" s="117" t="s">
        <v>203</v>
      </c>
      <c r="E94" s="118">
        <f ca="1" t="shared" si="5"/>
        <v>20.526</v>
      </c>
      <c r="F94" s="119"/>
    </row>
    <row r="95" customHeight="1" spans="1:7">
      <c r="A95" s="114">
        <v>8</v>
      </c>
      <c r="B95" s="115" t="s">
        <v>120</v>
      </c>
      <c r="C95" s="116" t="s">
        <v>121</v>
      </c>
      <c r="D95" s="117">
        <f ca="1">E96+E97+E98+E99</f>
        <v>38.599</v>
      </c>
      <c r="E95" s="118">
        <f ca="1" t="shared" si="5"/>
        <v>38.599</v>
      </c>
      <c r="F95" s="119"/>
      <c r="G95" s="86">
        <f>4.33-0.48</f>
        <v>3.85</v>
      </c>
    </row>
    <row r="96" customHeight="1" spans="1:6">
      <c r="A96" s="114"/>
      <c r="B96" s="115" t="s">
        <v>204</v>
      </c>
      <c r="C96" s="116" t="s">
        <v>121</v>
      </c>
      <c r="D96" s="117" t="s">
        <v>205</v>
      </c>
      <c r="E96" s="118">
        <f ca="1" t="shared" si="5"/>
        <v>12.243</v>
      </c>
      <c r="F96" s="119"/>
    </row>
    <row r="97" customHeight="1" spans="1:6">
      <c r="A97" s="114"/>
      <c r="B97" s="115" t="s">
        <v>206</v>
      </c>
      <c r="C97" s="116" t="s">
        <v>121</v>
      </c>
      <c r="D97" s="117" t="s">
        <v>207</v>
      </c>
      <c r="E97" s="118">
        <f ca="1" t="shared" si="5"/>
        <v>14.896</v>
      </c>
      <c r="F97" s="119"/>
    </row>
    <row r="98" customHeight="1" spans="1:6">
      <c r="A98" s="114"/>
      <c r="B98" s="115" t="s">
        <v>208</v>
      </c>
      <c r="C98" s="116" t="s">
        <v>121</v>
      </c>
      <c r="D98" s="117" t="s">
        <v>209</v>
      </c>
      <c r="E98" s="118">
        <f ca="1" t="shared" si="5"/>
        <v>7.5</v>
      </c>
      <c r="F98" s="119"/>
    </row>
    <row r="99" customHeight="1" spans="1:6">
      <c r="A99" s="114"/>
      <c r="B99" s="115" t="s">
        <v>210</v>
      </c>
      <c r="C99" s="116" t="s">
        <v>121</v>
      </c>
      <c r="D99" s="117" t="s">
        <v>211</v>
      </c>
      <c r="E99" s="118">
        <f ca="1" t="shared" si="5"/>
        <v>3.96</v>
      </c>
      <c r="F99" s="119"/>
    </row>
    <row r="100" customHeight="1" spans="1:6">
      <c r="A100" s="114">
        <v>9</v>
      </c>
      <c r="B100" s="115" t="s">
        <v>175</v>
      </c>
      <c r="C100" s="116" t="s">
        <v>60</v>
      </c>
      <c r="D100" s="117">
        <v>0</v>
      </c>
      <c r="E100" s="118">
        <f ca="1" t="shared" si="5"/>
        <v>0</v>
      </c>
      <c r="F100" s="119"/>
    </row>
    <row r="101" customHeight="1" spans="1:6">
      <c r="A101" s="114" t="s">
        <v>212</v>
      </c>
      <c r="B101" s="115" t="s">
        <v>213</v>
      </c>
      <c r="C101" s="116" t="s">
        <v>121</v>
      </c>
      <c r="D101" s="117" t="s">
        <v>214</v>
      </c>
      <c r="E101" s="118">
        <f ca="1" t="shared" si="5"/>
        <v>70.132</v>
      </c>
      <c r="F101" s="119"/>
    </row>
    <row r="102" customHeight="1" spans="1:6">
      <c r="A102" s="114" t="s">
        <v>215</v>
      </c>
      <c r="B102" s="115" t="s">
        <v>216</v>
      </c>
      <c r="C102" s="116" t="s">
        <v>151</v>
      </c>
      <c r="D102" s="117">
        <v>2</v>
      </c>
      <c r="E102" s="118">
        <f ca="1" t="shared" ref="E102:E110" si="6">EVALUATE(D102)</f>
        <v>2</v>
      </c>
      <c r="F102" s="119"/>
    </row>
    <row r="103" customHeight="1" spans="1:6">
      <c r="A103" s="114" t="s">
        <v>217</v>
      </c>
      <c r="B103" s="115" t="s">
        <v>218</v>
      </c>
      <c r="C103" s="116" t="s">
        <v>151</v>
      </c>
      <c r="D103" s="117">
        <v>0</v>
      </c>
      <c r="E103" s="118">
        <f ca="1" t="shared" si="6"/>
        <v>0</v>
      </c>
      <c r="F103" s="119"/>
    </row>
    <row r="104" customHeight="1" spans="1:6">
      <c r="A104" s="106" t="s">
        <v>219</v>
      </c>
      <c r="B104" s="107" t="s">
        <v>220</v>
      </c>
      <c r="C104" s="116"/>
      <c r="D104" s="117"/>
      <c r="E104" s="118"/>
      <c r="F104" s="119"/>
    </row>
    <row r="105" customHeight="1" spans="1:6">
      <c r="A105" s="114" t="s">
        <v>94</v>
      </c>
      <c r="B105" s="115" t="s">
        <v>95</v>
      </c>
      <c r="C105" s="116"/>
      <c r="D105" s="117"/>
      <c r="E105" s="118"/>
      <c r="F105" s="119"/>
    </row>
    <row r="106" customHeight="1" spans="1:6">
      <c r="A106" s="114">
        <v>1</v>
      </c>
      <c r="B106" s="115" t="s">
        <v>96</v>
      </c>
      <c r="C106" s="116" t="s">
        <v>60</v>
      </c>
      <c r="D106" s="117" t="s">
        <v>221</v>
      </c>
      <c r="E106" s="118">
        <f ca="1" t="shared" si="6"/>
        <v>0</v>
      </c>
      <c r="F106" s="119"/>
    </row>
    <row r="107" customHeight="1" spans="1:6">
      <c r="A107" s="114">
        <v>2</v>
      </c>
      <c r="B107" s="115" t="s">
        <v>98</v>
      </c>
      <c r="C107" s="116" t="s">
        <v>60</v>
      </c>
      <c r="D107" s="117" t="s">
        <v>222</v>
      </c>
      <c r="E107" s="118">
        <f ca="1" t="shared" si="6"/>
        <v>0</v>
      </c>
      <c r="F107" s="119"/>
    </row>
    <row r="108" customHeight="1" spans="1:6">
      <c r="A108" s="114">
        <v>3</v>
      </c>
      <c r="B108" s="115" t="s">
        <v>100</v>
      </c>
      <c r="C108" s="116" t="s">
        <v>60</v>
      </c>
      <c r="D108" s="117" t="s">
        <v>223</v>
      </c>
      <c r="E108" s="118">
        <f ca="1" t="shared" si="6"/>
        <v>0</v>
      </c>
      <c r="F108" s="119"/>
    </row>
    <row r="109" customHeight="1" spans="1:6">
      <c r="A109" s="114" t="s">
        <v>102</v>
      </c>
      <c r="B109" s="115" t="s">
        <v>224</v>
      </c>
      <c r="C109" s="116" t="s">
        <v>60</v>
      </c>
      <c r="D109" s="117">
        <v>0.9</v>
      </c>
      <c r="E109" s="118">
        <f ca="1" t="shared" si="6"/>
        <v>0.9</v>
      </c>
      <c r="F109" s="119"/>
    </row>
    <row r="110" customHeight="1" spans="1:6">
      <c r="A110" s="114" t="s">
        <v>152</v>
      </c>
      <c r="B110" s="115" t="s">
        <v>225</v>
      </c>
      <c r="C110" s="116" t="s">
        <v>60</v>
      </c>
      <c r="D110" s="117">
        <v>0.9</v>
      </c>
      <c r="E110" s="118">
        <f ca="1" t="shared" si="6"/>
        <v>0.9</v>
      </c>
      <c r="F110" s="119"/>
    </row>
    <row r="111" customHeight="1" spans="1:6">
      <c r="A111" s="101"/>
      <c r="B111" s="106" t="s">
        <v>226</v>
      </c>
      <c r="C111" s="131"/>
      <c r="D111" s="117"/>
      <c r="E111" s="118"/>
      <c r="F111" s="119"/>
    </row>
    <row r="112" customHeight="1" spans="1:6">
      <c r="A112" s="106" t="s">
        <v>90</v>
      </c>
      <c r="B112" s="107" t="s">
        <v>91</v>
      </c>
      <c r="C112" s="131"/>
      <c r="D112" s="117"/>
      <c r="E112" s="118"/>
      <c r="F112" s="119"/>
    </row>
    <row r="113" customHeight="1" spans="1:6">
      <c r="A113" s="106" t="s">
        <v>92</v>
      </c>
      <c r="B113" s="107" t="s">
        <v>93</v>
      </c>
      <c r="C113" s="116"/>
      <c r="D113" s="117"/>
      <c r="E113" s="118"/>
      <c r="F113" s="119"/>
    </row>
    <row r="114" customHeight="1" spans="1:6">
      <c r="A114" s="114">
        <v>1</v>
      </c>
      <c r="B114" s="115" t="s">
        <v>227</v>
      </c>
      <c r="C114" s="116" t="s">
        <v>168</v>
      </c>
      <c r="D114" s="117">
        <v>3000</v>
      </c>
      <c r="E114" s="118">
        <f ca="1" t="shared" ref="E114:E119" si="7">EVALUATE(D114)</f>
        <v>3000</v>
      </c>
      <c r="F114" s="119"/>
    </row>
    <row r="115" customHeight="1" spans="1:6">
      <c r="A115" s="114">
        <v>2</v>
      </c>
      <c r="B115" s="115" t="s">
        <v>228</v>
      </c>
      <c r="C115" s="116" t="s">
        <v>168</v>
      </c>
      <c r="D115" s="117">
        <v>4150</v>
      </c>
      <c r="E115" s="118">
        <f ca="1" t="shared" si="7"/>
        <v>4150</v>
      </c>
      <c r="F115" s="119"/>
    </row>
    <row r="116" customHeight="1" spans="1:6">
      <c r="A116" s="114">
        <v>3</v>
      </c>
      <c r="B116" s="115" t="s">
        <v>229</v>
      </c>
      <c r="C116" s="116" t="s">
        <v>151</v>
      </c>
      <c r="D116" s="117">
        <v>2</v>
      </c>
      <c r="E116" s="118">
        <f ca="1" t="shared" si="7"/>
        <v>2</v>
      </c>
      <c r="F116" s="119"/>
    </row>
    <row r="117" customHeight="1" spans="1:6">
      <c r="A117" s="114">
        <v>4</v>
      </c>
      <c r="B117" s="115" t="s">
        <v>230</v>
      </c>
      <c r="C117" s="116" t="s">
        <v>151</v>
      </c>
      <c r="D117" s="117" t="s">
        <v>231</v>
      </c>
      <c r="E117" s="118">
        <f ca="1" t="shared" si="7"/>
        <v>2</v>
      </c>
      <c r="F117" s="119"/>
    </row>
    <row r="118" customHeight="1" spans="1:6">
      <c r="A118" s="114">
        <v>5</v>
      </c>
      <c r="B118" s="115" t="s">
        <v>232</v>
      </c>
      <c r="C118" s="116" t="s">
        <v>104</v>
      </c>
      <c r="D118" s="117">
        <v>1</v>
      </c>
      <c r="E118" s="118">
        <f ca="1" t="shared" si="7"/>
        <v>1</v>
      </c>
      <c r="F118" s="119"/>
    </row>
    <row r="119" customHeight="1" spans="1:6">
      <c r="A119" s="114">
        <v>6</v>
      </c>
      <c r="B119" s="115" t="s">
        <v>233</v>
      </c>
      <c r="C119" s="116" t="s">
        <v>71</v>
      </c>
      <c r="D119" s="117" t="s">
        <v>234</v>
      </c>
      <c r="E119" s="118">
        <f ca="1" t="shared" si="7"/>
        <v>0</v>
      </c>
      <c r="F119" s="119"/>
    </row>
    <row r="120" customHeight="1" spans="1:6">
      <c r="A120" s="106" t="s">
        <v>105</v>
      </c>
      <c r="B120" s="107" t="s">
        <v>106</v>
      </c>
      <c r="C120" s="116"/>
      <c r="D120" s="117"/>
      <c r="E120" s="118"/>
      <c r="F120" s="119"/>
    </row>
    <row r="121" customHeight="1" spans="1:6">
      <c r="A121" s="114">
        <v>1</v>
      </c>
      <c r="B121" s="115" t="s">
        <v>235</v>
      </c>
      <c r="C121" s="131" t="s">
        <v>104</v>
      </c>
      <c r="D121" s="117">
        <v>2</v>
      </c>
      <c r="E121" s="118">
        <f ca="1" t="shared" ref="E120:E125" si="8">EVALUATE(D121)</f>
        <v>2</v>
      </c>
      <c r="F121" s="119"/>
    </row>
    <row r="122" customHeight="1" spans="1:6">
      <c r="A122" s="114">
        <v>2</v>
      </c>
      <c r="B122" s="115" t="s">
        <v>236</v>
      </c>
      <c r="C122" s="131" t="s">
        <v>104</v>
      </c>
      <c r="D122" s="117" t="s">
        <v>231</v>
      </c>
      <c r="E122" s="118">
        <f ca="1" t="shared" si="8"/>
        <v>2</v>
      </c>
      <c r="F122" s="119"/>
    </row>
    <row r="123" customHeight="1" spans="1:6">
      <c r="A123" s="114">
        <v>3</v>
      </c>
      <c r="B123" s="115" t="s">
        <v>237</v>
      </c>
      <c r="C123" s="116" t="s">
        <v>238</v>
      </c>
      <c r="D123" s="117" t="s">
        <v>231</v>
      </c>
      <c r="E123" s="118">
        <f ca="1" t="shared" si="8"/>
        <v>2</v>
      </c>
      <c r="F123" s="119"/>
    </row>
    <row r="124" customHeight="1" spans="1:6">
      <c r="A124" s="114">
        <v>4</v>
      </c>
      <c r="B124" s="115" t="s">
        <v>239</v>
      </c>
      <c r="C124" s="116" t="s">
        <v>168</v>
      </c>
      <c r="D124" s="117">
        <v>200</v>
      </c>
      <c r="E124" s="118">
        <f ca="1" t="shared" si="8"/>
        <v>200</v>
      </c>
      <c r="F124" s="119"/>
    </row>
    <row r="125" customHeight="1" spans="1:6">
      <c r="A125" s="114">
        <v>5</v>
      </c>
      <c r="B125" s="115" t="s">
        <v>240</v>
      </c>
      <c r="C125" s="116" t="s">
        <v>241</v>
      </c>
      <c r="D125" s="117">
        <v>1</v>
      </c>
      <c r="E125" s="118">
        <f ca="1" t="shared" si="8"/>
        <v>1</v>
      </c>
      <c r="F125" s="119"/>
    </row>
    <row r="126" customHeight="1" spans="1:6">
      <c r="A126" s="106" t="s">
        <v>219</v>
      </c>
      <c r="B126" s="107" t="s">
        <v>220</v>
      </c>
      <c r="C126" s="116"/>
      <c r="D126" s="117"/>
      <c r="E126" s="118"/>
      <c r="F126" s="119"/>
    </row>
    <row r="127" customHeight="1" spans="1:6">
      <c r="A127" s="114">
        <v>1</v>
      </c>
      <c r="B127" s="115" t="s">
        <v>242</v>
      </c>
      <c r="C127" s="116" t="s">
        <v>168</v>
      </c>
      <c r="D127" s="117">
        <v>2800</v>
      </c>
      <c r="E127" s="118">
        <f ca="1" t="shared" ref="E126:E134" si="9">EVALUATE(D127)</f>
        <v>2800</v>
      </c>
      <c r="F127" s="119"/>
    </row>
    <row r="128" customHeight="1" spans="1:6">
      <c r="A128" s="114">
        <v>2</v>
      </c>
      <c r="B128" s="115" t="s">
        <v>243</v>
      </c>
      <c r="C128" s="116" t="s">
        <v>168</v>
      </c>
      <c r="D128" s="117">
        <v>4000</v>
      </c>
      <c r="E128" s="118">
        <f ca="1" t="shared" si="9"/>
        <v>4000</v>
      </c>
      <c r="F128" s="119"/>
    </row>
    <row r="129" customHeight="1" spans="1:8">
      <c r="A129" s="114">
        <v>3</v>
      </c>
      <c r="B129" s="115" t="s">
        <v>244</v>
      </c>
      <c r="C129" s="116" t="s">
        <v>168</v>
      </c>
      <c r="D129" s="117">
        <v>5600</v>
      </c>
      <c r="E129" s="118">
        <f ca="1" t="shared" si="9"/>
        <v>5600</v>
      </c>
      <c r="F129" s="119" t="s">
        <v>245</v>
      </c>
      <c r="H129" s="132"/>
    </row>
    <row r="130" customHeight="1" spans="1:8">
      <c r="A130" s="114">
        <v>4</v>
      </c>
      <c r="B130" s="115" t="s">
        <v>246</v>
      </c>
      <c r="C130" s="116" t="s">
        <v>168</v>
      </c>
      <c r="D130" s="117">
        <v>5400</v>
      </c>
      <c r="E130" s="118">
        <f ca="1" t="shared" si="9"/>
        <v>5400</v>
      </c>
      <c r="F130" s="119" t="s">
        <v>247</v>
      </c>
      <c r="H130" s="132"/>
    </row>
    <row r="131" customHeight="1" spans="1:8">
      <c r="A131" s="114">
        <v>5</v>
      </c>
      <c r="B131" s="115" t="s">
        <v>248</v>
      </c>
      <c r="C131" s="116" t="s">
        <v>168</v>
      </c>
      <c r="D131" s="117">
        <v>17200</v>
      </c>
      <c r="E131" s="118">
        <f ca="1" t="shared" si="9"/>
        <v>17200</v>
      </c>
      <c r="F131" s="119" t="s">
        <v>249</v>
      </c>
      <c r="H131" s="132"/>
    </row>
    <row r="132" ht="24" spans="1:6">
      <c r="A132" s="114">
        <v>6</v>
      </c>
      <c r="B132" s="115" t="s">
        <v>250</v>
      </c>
      <c r="C132" s="116" t="s">
        <v>251</v>
      </c>
      <c r="D132" s="117"/>
      <c r="E132" s="118"/>
      <c r="F132" s="119" t="s">
        <v>252</v>
      </c>
    </row>
  </sheetData>
  <mergeCells count="2">
    <mergeCell ref="A1:F1"/>
    <mergeCell ref="A2:F2"/>
  </mergeCells>
  <pageMargins left="0.550694444444444" right="0.472222222222222" top="0.432638888888889" bottom="0.708333333333333" header="0.275" footer="0.432638888888889"/>
  <pageSetup paperSize="9" scale="81" fitToHeight="0" orientation="portrait" horizontalDpi="600"/>
  <headerFooter>
    <oddFooter>&amp;L建设单位：&amp;C施工单位：&amp;R第&amp;P页 共&amp;N页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32"/>
  <sheetViews>
    <sheetView workbookViewId="0">
      <selection activeCell="R31" sqref="R31"/>
    </sheetView>
  </sheetViews>
  <sheetFormatPr defaultColWidth="9" defaultRowHeight="14.25"/>
  <cols>
    <col min="1" max="1" width="4.875" customWidth="1"/>
    <col min="2" max="2" width="18.75" style="26" customWidth="1"/>
    <col min="3" max="3" width="4.125" style="26" customWidth="1"/>
    <col min="4" max="4" width="6.375" style="26" customWidth="1"/>
    <col min="5" max="5" width="7.375" style="26" customWidth="1"/>
    <col min="6" max="6" width="7" style="26" customWidth="1"/>
    <col min="7" max="7" width="7.125" style="26" customWidth="1"/>
    <col min="8" max="8" width="7.25" style="26" customWidth="1"/>
    <col min="9" max="27" width="6.625" style="26" customWidth="1"/>
    <col min="28" max="33" width="8.525" style="26" customWidth="1"/>
    <col min="34" max="34" width="8.5" style="26" hidden="1" customWidth="1"/>
    <col min="35" max="35" width="7.625" style="26" hidden="1" customWidth="1"/>
    <col min="36" max="36" width="9.375" style="26" hidden="1" customWidth="1"/>
    <col min="37" max="37" width="11.125" style="26" hidden="1" customWidth="1"/>
    <col min="38" max="38" width="9.375" style="26" hidden="1" customWidth="1"/>
    <col min="39" max="245" width="9" style="26"/>
    <col min="246" max="16384" width="9" style="27"/>
  </cols>
  <sheetData>
    <row r="1" s="26" customFormat="1" ht="29" customHeight="1" spans="1:33">
      <c r="A1" s="28" t="s">
        <v>253</v>
      </c>
      <c r="B1" s="29"/>
      <c r="C1" s="29"/>
      <c r="D1" s="29"/>
      <c r="E1" s="29"/>
      <c r="F1" s="29"/>
      <c r="G1" s="29"/>
      <c r="H1" s="29"/>
      <c r="I1" s="47"/>
      <c r="J1" s="48" t="s">
        <v>56</v>
      </c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80"/>
    </row>
    <row r="2" s="26" customFormat="1" ht="14" customHeight="1" spans="1:33">
      <c r="A2" s="30" t="s">
        <v>22</v>
      </c>
      <c r="B2" s="31"/>
      <c r="C2" s="31"/>
      <c r="D2" s="31"/>
      <c r="E2" s="31"/>
      <c r="F2" s="31"/>
      <c r="G2" s="31"/>
      <c r="H2" s="31"/>
      <c r="I2" s="50"/>
      <c r="J2" s="51" t="str">
        <f>工程量计算稿!B13</f>
        <v>闸阀井</v>
      </c>
      <c r="K2" s="52"/>
      <c r="L2" s="52"/>
      <c r="M2" s="52"/>
      <c r="N2" s="52"/>
      <c r="O2" s="53"/>
      <c r="P2" s="51" t="str">
        <f>工程量计算稿!B49</f>
        <v>新建80方清水池</v>
      </c>
      <c r="Q2" s="52"/>
      <c r="R2" s="52"/>
      <c r="S2" s="52"/>
      <c r="T2" s="52"/>
      <c r="U2" s="53"/>
      <c r="V2" s="51" t="str">
        <f>工程量计算稿!B65</f>
        <v>硬化带</v>
      </c>
      <c r="W2" s="52"/>
      <c r="X2" s="52"/>
      <c r="Y2" s="52"/>
      <c r="Z2" s="52"/>
      <c r="AA2" s="53"/>
      <c r="AB2" s="51" t="str">
        <f>工程量计算稿!B75</f>
        <v>围墙</v>
      </c>
      <c r="AC2" s="52"/>
      <c r="AD2" s="52"/>
      <c r="AE2" s="52"/>
      <c r="AF2" s="52"/>
      <c r="AG2" s="53"/>
    </row>
    <row r="3" s="26" customFormat="1" ht="20" customHeight="1" spans="1:38">
      <c r="A3" s="32" t="s">
        <v>23</v>
      </c>
      <c r="B3" s="33" t="s">
        <v>254</v>
      </c>
      <c r="C3" s="33" t="s">
        <v>25</v>
      </c>
      <c r="D3" s="34" t="s">
        <v>89</v>
      </c>
      <c r="E3" s="34" t="s">
        <v>255</v>
      </c>
      <c r="F3" s="34"/>
      <c r="G3" s="34"/>
      <c r="H3" s="34"/>
      <c r="I3" s="54"/>
      <c r="J3" s="55" t="s">
        <v>89</v>
      </c>
      <c r="K3" s="34" t="s">
        <v>256</v>
      </c>
      <c r="L3" s="34"/>
      <c r="M3" s="34"/>
      <c r="N3" s="34"/>
      <c r="O3" s="54"/>
      <c r="P3" s="55" t="s">
        <v>89</v>
      </c>
      <c r="Q3" s="34" t="s">
        <v>256</v>
      </c>
      <c r="R3" s="34"/>
      <c r="S3" s="34"/>
      <c r="T3" s="34"/>
      <c r="U3" s="54"/>
      <c r="V3" s="55" t="s">
        <v>89</v>
      </c>
      <c r="W3" s="34" t="s">
        <v>256</v>
      </c>
      <c r="X3" s="34"/>
      <c r="Y3" s="34"/>
      <c r="Z3" s="34"/>
      <c r="AA3" s="54"/>
      <c r="AB3" s="55" t="s">
        <v>89</v>
      </c>
      <c r="AC3" s="34" t="s">
        <v>256</v>
      </c>
      <c r="AD3" s="34"/>
      <c r="AE3" s="34"/>
      <c r="AF3" s="34"/>
      <c r="AG3" s="54"/>
      <c r="AH3" s="81" t="s">
        <v>257</v>
      </c>
      <c r="AI3" s="81"/>
      <c r="AJ3" s="81"/>
      <c r="AK3" s="81"/>
      <c r="AL3" s="81"/>
    </row>
    <row r="4" s="26" customFormat="1" ht="36" customHeight="1" spans="1:38">
      <c r="A4" s="32"/>
      <c r="B4" s="33"/>
      <c r="C4" s="33"/>
      <c r="D4" s="34"/>
      <c r="E4" s="34" t="s">
        <v>258</v>
      </c>
      <c r="F4" s="34" t="s">
        <v>259</v>
      </c>
      <c r="G4" s="34" t="s">
        <v>260</v>
      </c>
      <c r="H4" s="34" t="s">
        <v>261</v>
      </c>
      <c r="I4" s="54" t="s">
        <v>262</v>
      </c>
      <c r="J4" s="55"/>
      <c r="K4" s="34" t="s">
        <v>263</v>
      </c>
      <c r="L4" s="34" t="s">
        <v>259</v>
      </c>
      <c r="M4" s="34" t="s">
        <v>260</v>
      </c>
      <c r="N4" s="34" t="s">
        <v>264</v>
      </c>
      <c r="O4" s="54" t="s">
        <v>262</v>
      </c>
      <c r="P4" s="55"/>
      <c r="Q4" s="34" t="s">
        <v>263</v>
      </c>
      <c r="R4" s="34" t="s">
        <v>259</v>
      </c>
      <c r="S4" s="34" t="s">
        <v>260</v>
      </c>
      <c r="T4" s="34" t="s">
        <v>264</v>
      </c>
      <c r="U4" s="54" t="s">
        <v>262</v>
      </c>
      <c r="V4" s="55"/>
      <c r="W4" s="34" t="s">
        <v>263</v>
      </c>
      <c r="X4" s="34" t="s">
        <v>259</v>
      </c>
      <c r="Y4" s="34" t="s">
        <v>260</v>
      </c>
      <c r="Z4" s="34" t="s">
        <v>264</v>
      </c>
      <c r="AA4" s="54" t="s">
        <v>262</v>
      </c>
      <c r="AB4" s="55"/>
      <c r="AC4" s="34" t="s">
        <v>263</v>
      </c>
      <c r="AD4" s="34" t="s">
        <v>259</v>
      </c>
      <c r="AE4" s="34" t="s">
        <v>260</v>
      </c>
      <c r="AF4" s="34" t="s">
        <v>264</v>
      </c>
      <c r="AG4" s="54" t="s">
        <v>262</v>
      </c>
      <c r="AH4" s="82" t="s">
        <v>263</v>
      </c>
      <c r="AI4" s="83" t="s">
        <v>259</v>
      </c>
      <c r="AJ4" s="83" t="s">
        <v>260</v>
      </c>
      <c r="AK4" s="83" t="s">
        <v>261</v>
      </c>
      <c r="AL4" s="84" t="s">
        <v>262</v>
      </c>
    </row>
    <row r="5" s="26" customFormat="1" ht="14" customHeight="1" spans="1:38">
      <c r="A5" s="35">
        <v>1</v>
      </c>
      <c r="B5" s="36" t="s">
        <v>265</v>
      </c>
      <c r="C5" s="37" t="s">
        <v>60</v>
      </c>
      <c r="D5" s="37">
        <v>1</v>
      </c>
      <c r="E5" s="38">
        <v>350.3576</v>
      </c>
      <c r="F5" s="38">
        <v>0.544</v>
      </c>
      <c r="G5" s="38">
        <v>0.8666</v>
      </c>
      <c r="H5" s="38"/>
      <c r="I5" s="56"/>
      <c r="J5" s="57">
        <f ca="1">工程量计算稿!E22+工程量计算稿!E32</f>
        <v>0.24108</v>
      </c>
      <c r="K5" s="58">
        <f ca="1" t="shared" ref="K5:K7" si="0">E5*J5/1000</f>
        <v>0.084464210208</v>
      </c>
      <c r="L5" s="58">
        <f ca="1" t="shared" ref="L5:L7" si="1">J5*F5</f>
        <v>0.13114752</v>
      </c>
      <c r="M5" s="58">
        <f ca="1">J5*G5</f>
        <v>0.208919928</v>
      </c>
      <c r="N5" s="58"/>
      <c r="O5" s="59"/>
      <c r="P5" s="57"/>
      <c r="Q5" s="58">
        <f t="shared" ref="Q5:Q10" si="2">E5*P5/1000</f>
        <v>0</v>
      </c>
      <c r="R5" s="58">
        <f t="shared" ref="R5:R10" si="3">P5*F5</f>
        <v>0</v>
      </c>
      <c r="S5" s="58">
        <f>P5*G5</f>
        <v>0</v>
      </c>
      <c r="T5" s="58"/>
      <c r="U5" s="59"/>
      <c r="V5" s="57"/>
      <c r="W5" s="58">
        <f t="shared" ref="W5:W11" si="4">E5*V5/1000</f>
        <v>0</v>
      </c>
      <c r="X5" s="58">
        <f t="shared" ref="X5:X12" si="5">V5*F5</f>
        <v>0</v>
      </c>
      <c r="Y5" s="58">
        <f>V5*G5</f>
        <v>0</v>
      </c>
      <c r="Z5" s="58"/>
      <c r="AA5" s="59"/>
      <c r="AB5" s="57"/>
      <c r="AC5" s="58">
        <f t="shared" ref="AC5:AC11" si="6">E5*AB5/1000</f>
        <v>0</v>
      </c>
      <c r="AD5" s="58">
        <f t="shared" ref="AD5:AD12" si="7">AB5*F5</f>
        <v>0</v>
      </c>
      <c r="AE5" s="58">
        <f>AB5*G5</f>
        <v>0</v>
      </c>
      <c r="AF5" s="58"/>
      <c r="AG5" s="59"/>
      <c r="AH5" s="85">
        <f ca="1" t="shared" ref="AH5:AL5" si="8">K14+Q14+W14+AC14</f>
        <v>6.76740012694953</v>
      </c>
      <c r="AI5" s="85">
        <f ca="1" t="shared" si="8"/>
        <v>14.04367209842</v>
      </c>
      <c r="AJ5" s="85">
        <f ca="1" t="shared" si="8"/>
        <v>13.01663985488</v>
      </c>
      <c r="AK5" s="85">
        <f ca="1" t="shared" si="8"/>
        <v>10.6735098975</v>
      </c>
      <c r="AL5" s="85">
        <f t="shared" si="8"/>
        <v>0</v>
      </c>
    </row>
    <row r="6" s="26" customFormat="1" ht="14" customHeight="1" spans="1:33">
      <c r="A6" s="35">
        <v>2</v>
      </c>
      <c r="B6" s="36" t="s">
        <v>266</v>
      </c>
      <c r="C6" s="37" t="s">
        <v>60</v>
      </c>
      <c r="D6" s="37">
        <v>1</v>
      </c>
      <c r="E6" s="38">
        <v>375.8161</v>
      </c>
      <c r="F6" s="38">
        <v>0.5219</v>
      </c>
      <c r="G6" s="38">
        <v>0.8666</v>
      </c>
      <c r="H6" s="38"/>
      <c r="I6" s="56"/>
      <c r="J6" s="57"/>
      <c r="K6" s="58">
        <f t="shared" si="0"/>
        <v>0</v>
      </c>
      <c r="L6" s="58">
        <f t="shared" si="1"/>
        <v>0</v>
      </c>
      <c r="M6" s="58">
        <f>J6*G6</f>
        <v>0</v>
      </c>
      <c r="N6" s="58"/>
      <c r="O6" s="59"/>
      <c r="P6" s="57">
        <f ca="1">工程量计算稿!E54</f>
        <v>9.4009528</v>
      </c>
      <c r="Q6" s="58">
        <f ca="1" t="shared" si="2"/>
        <v>3.53302941758008</v>
      </c>
      <c r="R6" s="58">
        <f ca="1" t="shared" si="3"/>
        <v>4.90635726632</v>
      </c>
      <c r="S6" s="58">
        <f ca="1">P6*G6</f>
        <v>8.14686569648</v>
      </c>
      <c r="T6" s="58"/>
      <c r="U6" s="59"/>
      <c r="V6" s="57"/>
      <c r="W6" s="58">
        <f t="shared" si="4"/>
        <v>0</v>
      </c>
      <c r="X6" s="58">
        <f t="shared" si="5"/>
        <v>0</v>
      </c>
      <c r="Y6" s="58">
        <f>V6*G6</f>
        <v>0</v>
      </c>
      <c r="Z6" s="58"/>
      <c r="AA6" s="59"/>
      <c r="AB6" s="57">
        <f ca="1">工程量计算稿!E88</f>
        <v>1.6254</v>
      </c>
      <c r="AC6" s="58">
        <f ca="1" t="shared" si="6"/>
        <v>0.61085148894</v>
      </c>
      <c r="AD6" s="58">
        <f ca="1" t="shared" si="7"/>
        <v>0.84829626</v>
      </c>
      <c r="AE6" s="58">
        <f ca="1">AB6*G6</f>
        <v>1.40857164</v>
      </c>
      <c r="AF6" s="58"/>
      <c r="AG6" s="59"/>
    </row>
    <row r="7" s="26" customFormat="1" ht="14" customHeight="1" spans="1:33">
      <c r="A7" s="35">
        <v>3</v>
      </c>
      <c r="B7" s="36" t="s">
        <v>111</v>
      </c>
      <c r="C7" s="37" t="s">
        <v>60</v>
      </c>
      <c r="D7" s="37">
        <v>1</v>
      </c>
      <c r="E7" s="38">
        <v>66.033</v>
      </c>
      <c r="F7" s="38">
        <v>0.25</v>
      </c>
      <c r="G7" s="38"/>
      <c r="H7" s="38">
        <f>534/1000</f>
        <v>0.534</v>
      </c>
      <c r="I7" s="56"/>
      <c r="J7" s="57">
        <f ca="1">工程量计算稿!E19</f>
        <v>0.93696</v>
      </c>
      <c r="K7" s="58">
        <f ca="1" t="shared" si="0"/>
        <v>0.06187027968</v>
      </c>
      <c r="L7" s="58">
        <f ca="1" t="shared" si="1"/>
        <v>0.23424</v>
      </c>
      <c r="M7" s="58"/>
      <c r="N7" s="58">
        <f ca="1">J7*H7</f>
        <v>0.50033664</v>
      </c>
      <c r="O7" s="59"/>
      <c r="P7" s="57">
        <f ca="1">工程量计算稿!E61</f>
        <v>13.76032625</v>
      </c>
      <c r="Q7" s="58">
        <f ca="1" t="shared" si="2"/>
        <v>0.90863562326625</v>
      </c>
      <c r="R7" s="58">
        <f ca="1" t="shared" si="3"/>
        <v>3.4400815625</v>
      </c>
      <c r="S7" s="58"/>
      <c r="T7" s="58">
        <f ca="1">P7*H7</f>
        <v>7.3480142175</v>
      </c>
      <c r="U7" s="59"/>
      <c r="V7" s="57"/>
      <c r="W7" s="58">
        <f t="shared" si="4"/>
        <v>0</v>
      </c>
      <c r="X7" s="58">
        <f t="shared" si="5"/>
        <v>0</v>
      </c>
      <c r="Y7" s="58"/>
      <c r="Z7" s="58">
        <f>V7*H7</f>
        <v>0</v>
      </c>
      <c r="AA7" s="59"/>
      <c r="AB7" s="57">
        <f ca="1">工程量计算稿!E82+工程量计算稿!E84</f>
        <v>5.29056</v>
      </c>
      <c r="AC7" s="58">
        <f ca="1" t="shared" si="6"/>
        <v>0.34935154848</v>
      </c>
      <c r="AD7" s="58">
        <f ca="1" t="shared" si="7"/>
        <v>1.32264</v>
      </c>
      <c r="AE7" s="58"/>
      <c r="AF7" s="58">
        <f ca="1">AB7*H7</f>
        <v>2.82515904</v>
      </c>
      <c r="AG7" s="59"/>
    </row>
    <row r="8" s="26" customFormat="1" ht="14" customHeight="1" spans="1:33">
      <c r="A8" s="35">
        <v>4</v>
      </c>
      <c r="B8" s="39" t="s">
        <v>267</v>
      </c>
      <c r="C8" s="37" t="s">
        <v>60</v>
      </c>
      <c r="D8" s="37">
        <v>1</v>
      </c>
      <c r="E8" s="38">
        <f>34.4/100*261</f>
        <v>89.784</v>
      </c>
      <c r="F8" s="38">
        <f>34.4/100*1.11</f>
        <v>0.38184</v>
      </c>
      <c r="G8" s="38"/>
      <c r="H8" s="38"/>
      <c r="I8" s="56">
        <f>108/100</f>
        <v>1.08</v>
      </c>
      <c r="J8" s="57"/>
      <c r="K8" s="58"/>
      <c r="L8" s="58"/>
      <c r="M8" s="58"/>
      <c r="N8" s="58"/>
      <c r="O8" s="59"/>
      <c r="P8" s="57"/>
      <c r="Q8" s="58">
        <f t="shared" si="2"/>
        <v>0</v>
      </c>
      <c r="R8" s="58">
        <f t="shared" si="3"/>
        <v>0</v>
      </c>
      <c r="S8" s="58"/>
      <c r="T8" s="58"/>
      <c r="U8" s="59"/>
      <c r="V8" s="57"/>
      <c r="W8" s="58">
        <f t="shared" si="4"/>
        <v>0</v>
      </c>
      <c r="X8" s="58">
        <f t="shared" si="5"/>
        <v>0</v>
      </c>
      <c r="Y8" s="58"/>
      <c r="Z8" s="58"/>
      <c r="AA8" s="59"/>
      <c r="AB8" s="57"/>
      <c r="AC8" s="58">
        <f t="shared" si="6"/>
        <v>0</v>
      </c>
      <c r="AD8" s="58">
        <f t="shared" si="7"/>
        <v>0</v>
      </c>
      <c r="AE8" s="58"/>
      <c r="AF8" s="58"/>
      <c r="AG8" s="59"/>
    </row>
    <row r="9" s="26" customFormat="1" ht="14" customHeight="1" spans="1:33">
      <c r="A9" s="35">
        <v>5</v>
      </c>
      <c r="B9" s="36" t="s">
        <v>120</v>
      </c>
      <c r="C9" s="37" t="s">
        <v>60</v>
      </c>
      <c r="D9" s="37">
        <v>1</v>
      </c>
      <c r="E9" s="38">
        <v>7.717</v>
      </c>
      <c r="F9" s="38">
        <v>0.02</v>
      </c>
      <c r="G9" s="38"/>
      <c r="H9" s="38"/>
      <c r="I9" s="56"/>
      <c r="J9" s="57">
        <f ca="1">工程量计算稿!E28</f>
        <v>8.7488</v>
      </c>
      <c r="K9" s="58">
        <f ca="1">E9*J9/1000</f>
        <v>0.0675144896</v>
      </c>
      <c r="L9" s="58">
        <f ca="1">J9*F9</f>
        <v>0.174976</v>
      </c>
      <c r="M9" s="58"/>
      <c r="N9" s="58"/>
      <c r="O9" s="59"/>
      <c r="P9" s="57">
        <f ca="1">工程量计算稿!E59</f>
        <v>62.964464</v>
      </c>
      <c r="Q9" s="58">
        <f ca="1" t="shared" si="2"/>
        <v>0.485896768688</v>
      </c>
      <c r="R9" s="58">
        <f ca="1" t="shared" si="3"/>
        <v>1.25928928</v>
      </c>
      <c r="S9" s="58"/>
      <c r="T9" s="58"/>
      <c r="U9" s="59"/>
      <c r="V9" s="57"/>
      <c r="W9" s="58">
        <f t="shared" si="4"/>
        <v>0</v>
      </c>
      <c r="X9" s="58">
        <f t="shared" si="5"/>
        <v>0</v>
      </c>
      <c r="Y9" s="58"/>
      <c r="Z9" s="58"/>
      <c r="AA9" s="59"/>
      <c r="AB9" s="57">
        <f ca="1">工程量计算稿!E97</f>
        <v>14.896</v>
      </c>
      <c r="AC9" s="58">
        <f ca="1" t="shared" si="6"/>
        <v>0.114952432</v>
      </c>
      <c r="AD9" s="58">
        <f ca="1" t="shared" si="7"/>
        <v>0.29792</v>
      </c>
      <c r="AE9" s="58"/>
      <c r="AF9" s="58"/>
      <c r="AG9" s="59"/>
    </row>
    <row r="10" s="26" customFormat="1" ht="14" customHeight="1" spans="1:33">
      <c r="A10" s="35">
        <v>6</v>
      </c>
      <c r="B10" s="36" t="s">
        <v>268</v>
      </c>
      <c r="C10" s="37" t="s">
        <v>121</v>
      </c>
      <c r="D10" s="37">
        <v>1</v>
      </c>
      <c r="E10" s="38">
        <f>403.17/100+99.48/100</f>
        <v>5.0265</v>
      </c>
      <c r="F10" s="38">
        <f>0.77/100+0.09/100</f>
        <v>0.0086</v>
      </c>
      <c r="G10" s="38"/>
      <c r="H10" s="38"/>
      <c r="I10" s="56"/>
      <c r="J10" s="57"/>
      <c r="K10" s="58">
        <f>E10*J10/1000</f>
        <v>0</v>
      </c>
      <c r="L10" s="58">
        <f>J10*F10</f>
        <v>0</v>
      </c>
      <c r="M10" s="58"/>
      <c r="N10" s="58"/>
      <c r="O10" s="59"/>
      <c r="P10" s="57">
        <f ca="1">工程量计算稿!E60</f>
        <v>5.0868</v>
      </c>
      <c r="Q10" s="58">
        <f ca="1" t="shared" si="2"/>
        <v>0.0255688002</v>
      </c>
      <c r="R10" s="58">
        <f ca="1" t="shared" si="3"/>
        <v>0.04374648</v>
      </c>
      <c r="S10" s="58"/>
      <c r="T10" s="58"/>
      <c r="U10" s="59"/>
      <c r="V10" s="57"/>
      <c r="W10" s="58">
        <f t="shared" si="4"/>
        <v>0</v>
      </c>
      <c r="X10" s="58">
        <f t="shared" si="5"/>
        <v>0</v>
      </c>
      <c r="Y10" s="58"/>
      <c r="Z10" s="58"/>
      <c r="AA10" s="59"/>
      <c r="AB10" s="57">
        <f ca="1">工程量计算稿!E94</f>
        <v>20.526</v>
      </c>
      <c r="AC10" s="58">
        <f ca="1" t="shared" si="6"/>
        <v>0.103173939</v>
      </c>
      <c r="AD10" s="58">
        <f ca="1" t="shared" si="7"/>
        <v>0.1765236</v>
      </c>
      <c r="AE10" s="58"/>
      <c r="AF10" s="58"/>
      <c r="AG10" s="59"/>
    </row>
    <row r="11" s="26" customFormat="1" ht="14" customHeight="1" spans="1:33">
      <c r="A11" s="35">
        <v>7</v>
      </c>
      <c r="B11" s="39" t="s">
        <v>269</v>
      </c>
      <c r="C11" s="37" t="s">
        <v>121</v>
      </c>
      <c r="D11" s="37">
        <v>1</v>
      </c>
      <c r="E11" s="38">
        <v>52.043</v>
      </c>
      <c r="F11" s="38">
        <v>0.081</v>
      </c>
      <c r="G11" s="38">
        <v>0.129</v>
      </c>
      <c r="H11" s="38"/>
      <c r="I11" s="56"/>
      <c r="J11" s="57"/>
      <c r="K11" s="58"/>
      <c r="L11" s="58"/>
      <c r="M11" s="58"/>
      <c r="N11" s="58"/>
      <c r="O11" s="59"/>
      <c r="P11" s="57"/>
      <c r="Q11" s="58"/>
      <c r="R11" s="58"/>
      <c r="S11" s="58"/>
      <c r="T11" s="58"/>
      <c r="U11" s="59"/>
      <c r="V11" s="57">
        <f ca="1">工程量计算稿!E71</f>
        <v>8.1104304</v>
      </c>
      <c r="W11" s="58">
        <f ca="1" t="shared" si="4"/>
        <v>0.4220911293072</v>
      </c>
      <c r="X11" s="58">
        <f ca="1" t="shared" si="5"/>
        <v>0.6569448624</v>
      </c>
      <c r="Y11" s="58">
        <f ca="1">V11*G11</f>
        <v>1.0462455216</v>
      </c>
      <c r="Z11" s="58"/>
      <c r="AA11" s="59"/>
      <c r="AB11" s="57"/>
      <c r="AC11" s="58">
        <f t="shared" si="6"/>
        <v>0</v>
      </c>
      <c r="AD11" s="58">
        <f t="shared" si="7"/>
        <v>0</v>
      </c>
      <c r="AE11" s="58">
        <f>AB11*G11</f>
        <v>0</v>
      </c>
      <c r="AF11" s="58"/>
      <c r="AG11" s="59"/>
    </row>
    <row r="12" s="26" customFormat="1" ht="14" customHeight="1" spans="1:33">
      <c r="A12" s="35">
        <v>8</v>
      </c>
      <c r="B12" s="36" t="s">
        <v>270</v>
      </c>
      <c r="C12" s="37" t="s">
        <v>60</v>
      </c>
      <c r="D12" s="37">
        <v>1</v>
      </c>
      <c r="E12" s="40"/>
      <c r="F12" s="41">
        <v>0.204</v>
      </c>
      <c r="G12" s="41">
        <v>0.816</v>
      </c>
      <c r="H12" s="41"/>
      <c r="I12" s="60"/>
      <c r="J12" s="57"/>
      <c r="K12" s="58"/>
      <c r="L12" s="61"/>
      <c r="M12" s="61"/>
      <c r="N12" s="61"/>
      <c r="O12" s="62"/>
      <c r="P12" s="57"/>
      <c r="Q12" s="58"/>
      <c r="R12" s="58"/>
      <c r="S12" s="58"/>
      <c r="T12" s="61"/>
      <c r="U12" s="62"/>
      <c r="V12" s="57">
        <f ca="1">工程量计算稿!E68</f>
        <v>2.7034768</v>
      </c>
      <c r="W12" s="58"/>
      <c r="X12" s="58">
        <f ca="1" t="shared" si="5"/>
        <v>0.5515092672</v>
      </c>
      <c r="Y12" s="58">
        <f ca="1">V12*G12</f>
        <v>2.2060370688</v>
      </c>
      <c r="Z12" s="61"/>
      <c r="AA12" s="62"/>
      <c r="AB12" s="57"/>
      <c r="AC12" s="58"/>
      <c r="AD12" s="58">
        <f t="shared" si="7"/>
        <v>0</v>
      </c>
      <c r="AE12" s="58">
        <f>AB12*G12</f>
        <v>0</v>
      </c>
      <c r="AF12" s="61"/>
      <c r="AG12" s="62"/>
    </row>
    <row r="13" s="26" customFormat="1" ht="14" customHeight="1" spans="1:33">
      <c r="A13" s="35">
        <v>9</v>
      </c>
      <c r="B13" s="36" t="s">
        <v>271</v>
      </c>
      <c r="C13" s="37" t="s">
        <v>60</v>
      </c>
      <c r="D13" s="37">
        <v>1</v>
      </c>
      <c r="E13" s="40">
        <v>284.83</v>
      </c>
      <c r="F13" s="41">
        <v>0.56</v>
      </c>
      <c r="G13" s="41">
        <v>0.84</v>
      </c>
      <c r="H13" s="41"/>
      <c r="I13" s="60"/>
      <c r="J13" s="57"/>
      <c r="K13" s="58"/>
      <c r="L13" s="61"/>
      <c r="M13" s="61"/>
      <c r="N13" s="61"/>
      <c r="O13" s="62"/>
      <c r="P13" s="57"/>
      <c r="Q13" s="58"/>
      <c r="R13" s="58"/>
      <c r="S13" s="58"/>
      <c r="T13" s="61"/>
      <c r="U13" s="62"/>
      <c r="V13" s="57"/>
      <c r="W13" s="58"/>
      <c r="X13" s="58"/>
      <c r="Y13" s="61"/>
      <c r="Z13" s="61"/>
      <c r="AA13" s="62"/>
      <c r="AB13" s="57"/>
      <c r="AC13" s="58"/>
      <c r="AD13" s="58"/>
      <c r="AE13" s="61"/>
      <c r="AF13" s="61"/>
      <c r="AG13" s="62"/>
    </row>
    <row r="14" s="26" customFormat="1" ht="14" customHeight="1" spans="1:33">
      <c r="A14" s="42"/>
      <c r="B14" s="43"/>
      <c r="C14" s="43"/>
      <c r="D14" s="43"/>
      <c r="E14" s="43"/>
      <c r="F14" s="43"/>
      <c r="G14" s="43"/>
      <c r="H14" s="43"/>
      <c r="I14" s="63"/>
      <c r="J14" s="64" t="s">
        <v>272</v>
      </c>
      <c r="K14" s="65">
        <f ca="1" t="shared" ref="K14:N14" si="9">SUM(K5:K13)</f>
        <v>0.213848979488</v>
      </c>
      <c r="L14" s="65">
        <f ca="1" t="shared" si="9"/>
        <v>0.54036352</v>
      </c>
      <c r="M14" s="65">
        <f ca="1" t="shared" si="9"/>
        <v>0.208919928</v>
      </c>
      <c r="N14" s="65">
        <f ca="1" t="shared" si="9"/>
        <v>0.50033664</v>
      </c>
      <c r="O14" s="66"/>
      <c r="P14" s="64" t="s">
        <v>272</v>
      </c>
      <c r="Q14" s="65">
        <f ca="1" t="shared" ref="Q14:T14" si="10">SUM(Q5:Q12)</f>
        <v>4.95313060973433</v>
      </c>
      <c r="R14" s="65">
        <f ca="1" t="shared" si="10"/>
        <v>9.64947458882</v>
      </c>
      <c r="S14" s="65">
        <f ca="1" t="shared" si="10"/>
        <v>8.14686569648</v>
      </c>
      <c r="T14" s="65">
        <f ca="1" t="shared" si="10"/>
        <v>7.3480142175</v>
      </c>
      <c r="U14" s="66"/>
      <c r="V14" s="64" t="s">
        <v>272</v>
      </c>
      <c r="W14" s="65">
        <f ca="1" t="shared" ref="W14:Z14" si="11">SUM(W5:W12)</f>
        <v>0.4220911293072</v>
      </c>
      <c r="X14" s="65">
        <f ca="1" t="shared" si="11"/>
        <v>1.2084541296</v>
      </c>
      <c r="Y14" s="65">
        <f ca="1" t="shared" si="11"/>
        <v>3.2522825904</v>
      </c>
      <c r="Z14" s="65">
        <f t="shared" si="11"/>
        <v>0</v>
      </c>
      <c r="AA14" s="66"/>
      <c r="AB14" s="64" t="s">
        <v>272</v>
      </c>
      <c r="AC14" s="65">
        <f ca="1" t="shared" ref="AC14:AF14" si="12">SUM(AC5:AC12)</f>
        <v>1.17832940842</v>
      </c>
      <c r="AD14" s="65">
        <f ca="1" t="shared" si="12"/>
        <v>2.64537986</v>
      </c>
      <c r="AE14" s="65">
        <f ca="1" t="shared" si="12"/>
        <v>1.40857164</v>
      </c>
      <c r="AF14" s="65">
        <f ca="1" t="shared" si="12"/>
        <v>2.82515904</v>
      </c>
      <c r="AG14" s="66"/>
    </row>
    <row r="15" s="26" customFormat="1" ht="14" customHeight="1" spans="2:33">
      <c r="B15" s="44"/>
      <c r="C15" s="44"/>
      <c r="D15" s="44"/>
      <c r="E15" s="44"/>
      <c r="F15" s="44"/>
      <c r="G15" s="44"/>
      <c r="H15" s="44"/>
      <c r="I15" s="44"/>
      <c r="J15" s="67"/>
      <c r="K15" s="68"/>
      <c r="L15" s="68"/>
      <c r="M15" s="68"/>
      <c r="N15" s="68"/>
      <c r="O15" s="69"/>
      <c r="P15" s="70"/>
      <c r="Q15" s="77"/>
      <c r="R15" s="77"/>
      <c r="S15" s="78"/>
      <c r="T15" s="78"/>
      <c r="U15" s="79"/>
      <c r="V15" s="70"/>
      <c r="W15" s="77"/>
      <c r="X15" s="77"/>
      <c r="Y15" s="78"/>
      <c r="Z15" s="78"/>
      <c r="AA15" s="79"/>
      <c r="AB15" s="70"/>
      <c r="AC15" s="77"/>
      <c r="AD15" s="77"/>
      <c r="AE15" s="78"/>
      <c r="AF15" s="78"/>
      <c r="AG15" s="79"/>
    </row>
    <row r="16" s="26" customFormat="1" ht="29" customHeight="1" spans="1:33">
      <c r="A16" s="45" t="s">
        <v>253</v>
      </c>
      <c r="B16" s="46"/>
      <c r="C16" s="46"/>
      <c r="D16" s="46"/>
      <c r="E16" s="46"/>
      <c r="F16" s="46"/>
      <c r="G16" s="46"/>
      <c r="H16" s="46"/>
      <c r="I16" s="71"/>
      <c r="J16" s="48" t="s">
        <v>66</v>
      </c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80"/>
    </row>
    <row r="17" s="26" customFormat="1" ht="14" customHeight="1" spans="1:33">
      <c r="A17" s="30" t="s">
        <v>22</v>
      </c>
      <c r="B17" s="31"/>
      <c r="C17" s="31"/>
      <c r="D17" s="31"/>
      <c r="E17" s="31"/>
      <c r="F17" s="31"/>
      <c r="G17" s="31"/>
      <c r="H17" s="31"/>
      <c r="I17" s="72"/>
      <c r="J17" s="51" t="str">
        <f>工程量计算稿!B13</f>
        <v>闸阀井</v>
      </c>
      <c r="K17" s="52"/>
      <c r="L17" s="52"/>
      <c r="M17" s="52"/>
      <c r="N17" s="52"/>
      <c r="O17" s="53"/>
      <c r="P17" s="51" t="str">
        <f>工程量计算稿!B33</f>
        <v>新建50方清水池</v>
      </c>
      <c r="Q17" s="52"/>
      <c r="R17" s="52"/>
      <c r="S17" s="52"/>
      <c r="T17" s="52"/>
      <c r="U17" s="53"/>
      <c r="V17" s="51" t="str">
        <f>工程量计算稿!B65</f>
        <v>硬化带</v>
      </c>
      <c r="W17" s="52"/>
      <c r="X17" s="52"/>
      <c r="Y17" s="52"/>
      <c r="Z17" s="52"/>
      <c r="AA17" s="53"/>
      <c r="AB17" s="51" t="str">
        <f>工程量计算稿!B75</f>
        <v>围墙</v>
      </c>
      <c r="AC17" s="52"/>
      <c r="AD17" s="52"/>
      <c r="AE17" s="52"/>
      <c r="AF17" s="52"/>
      <c r="AG17" s="53"/>
    </row>
    <row r="18" s="26" customFormat="1" ht="20" customHeight="1" spans="1:38">
      <c r="A18" s="32" t="s">
        <v>23</v>
      </c>
      <c r="B18" s="33" t="s">
        <v>254</v>
      </c>
      <c r="C18" s="33" t="s">
        <v>25</v>
      </c>
      <c r="D18" s="34" t="s">
        <v>89</v>
      </c>
      <c r="E18" s="34" t="s">
        <v>255</v>
      </c>
      <c r="F18" s="34"/>
      <c r="G18" s="34"/>
      <c r="H18" s="34"/>
      <c r="I18" s="73"/>
      <c r="J18" s="55" t="s">
        <v>89</v>
      </c>
      <c r="K18" s="34" t="s">
        <v>256</v>
      </c>
      <c r="L18" s="34"/>
      <c r="M18" s="34"/>
      <c r="N18" s="34"/>
      <c r="O18" s="54"/>
      <c r="P18" s="55" t="s">
        <v>89</v>
      </c>
      <c r="Q18" s="34" t="s">
        <v>256</v>
      </c>
      <c r="R18" s="34"/>
      <c r="S18" s="34"/>
      <c r="T18" s="34"/>
      <c r="U18" s="54"/>
      <c r="V18" s="55" t="s">
        <v>89</v>
      </c>
      <c r="W18" s="34" t="s">
        <v>256</v>
      </c>
      <c r="X18" s="34"/>
      <c r="Y18" s="34"/>
      <c r="Z18" s="34"/>
      <c r="AA18" s="54"/>
      <c r="AB18" s="55" t="s">
        <v>89</v>
      </c>
      <c r="AC18" s="34" t="s">
        <v>256</v>
      </c>
      <c r="AD18" s="34"/>
      <c r="AE18" s="34"/>
      <c r="AF18" s="34"/>
      <c r="AG18" s="54"/>
      <c r="AH18" s="81" t="s">
        <v>257</v>
      </c>
      <c r="AI18" s="81"/>
      <c r="AJ18" s="81"/>
      <c r="AK18" s="81"/>
      <c r="AL18" s="81"/>
    </row>
    <row r="19" s="26" customFormat="1" ht="36" customHeight="1" spans="1:38">
      <c r="A19" s="32"/>
      <c r="B19" s="33"/>
      <c r="C19" s="33"/>
      <c r="D19" s="34"/>
      <c r="E19" s="34" t="s">
        <v>258</v>
      </c>
      <c r="F19" s="34" t="s">
        <v>259</v>
      </c>
      <c r="G19" s="34" t="s">
        <v>260</v>
      </c>
      <c r="H19" s="34" t="s">
        <v>264</v>
      </c>
      <c r="I19" s="73" t="s">
        <v>262</v>
      </c>
      <c r="J19" s="55"/>
      <c r="K19" s="34" t="s">
        <v>263</v>
      </c>
      <c r="L19" s="34" t="s">
        <v>259</v>
      </c>
      <c r="M19" s="34" t="s">
        <v>260</v>
      </c>
      <c r="N19" s="34" t="s">
        <v>264</v>
      </c>
      <c r="O19" s="54" t="s">
        <v>262</v>
      </c>
      <c r="P19" s="55"/>
      <c r="Q19" s="34" t="s">
        <v>263</v>
      </c>
      <c r="R19" s="34" t="s">
        <v>259</v>
      </c>
      <c r="S19" s="34" t="s">
        <v>260</v>
      </c>
      <c r="T19" s="34" t="s">
        <v>264</v>
      </c>
      <c r="U19" s="54" t="s">
        <v>262</v>
      </c>
      <c r="V19" s="55"/>
      <c r="W19" s="34" t="s">
        <v>263</v>
      </c>
      <c r="X19" s="34" t="s">
        <v>259</v>
      </c>
      <c r="Y19" s="34" t="s">
        <v>260</v>
      </c>
      <c r="Z19" s="34" t="s">
        <v>264</v>
      </c>
      <c r="AA19" s="54" t="s">
        <v>262</v>
      </c>
      <c r="AB19" s="55"/>
      <c r="AC19" s="34" t="s">
        <v>263</v>
      </c>
      <c r="AD19" s="34" t="s">
        <v>259</v>
      </c>
      <c r="AE19" s="34" t="s">
        <v>260</v>
      </c>
      <c r="AF19" s="34" t="s">
        <v>264</v>
      </c>
      <c r="AG19" s="54" t="s">
        <v>262</v>
      </c>
      <c r="AH19" s="82" t="s">
        <v>263</v>
      </c>
      <c r="AI19" s="83" t="s">
        <v>259</v>
      </c>
      <c r="AJ19" s="83" t="s">
        <v>260</v>
      </c>
      <c r="AK19" s="83" t="s">
        <v>261</v>
      </c>
      <c r="AL19" s="84" t="s">
        <v>262</v>
      </c>
    </row>
    <row r="20" s="26" customFormat="1" ht="14" customHeight="1" spans="1:38">
      <c r="A20" s="35">
        <v>1</v>
      </c>
      <c r="B20" s="36" t="s">
        <v>265</v>
      </c>
      <c r="C20" s="37" t="s">
        <v>60</v>
      </c>
      <c r="D20" s="37">
        <v>1</v>
      </c>
      <c r="E20" s="38">
        <v>350.3576</v>
      </c>
      <c r="F20" s="38">
        <v>0.544</v>
      </c>
      <c r="G20" s="38">
        <v>0.8666</v>
      </c>
      <c r="H20" s="38"/>
      <c r="I20" s="74"/>
      <c r="J20" s="57">
        <f ca="1">工程量计算稿!E21+工程量计算稿!E31</f>
        <v>0.28469</v>
      </c>
      <c r="K20" s="58">
        <f ca="1" t="shared" ref="K20:K22" si="13">E20*J20/1000</f>
        <v>0.099743305144</v>
      </c>
      <c r="L20" s="58">
        <f ca="1" t="shared" ref="L20:L22" si="14">J20*F20</f>
        <v>0.15487136</v>
      </c>
      <c r="M20" s="58">
        <f ca="1">J20*G20</f>
        <v>0.246712354</v>
      </c>
      <c r="N20" s="58"/>
      <c r="O20" s="59"/>
      <c r="P20" s="57"/>
      <c r="Q20" s="58">
        <f t="shared" ref="Q20:Q25" si="15">E20*P20/1000</f>
        <v>0</v>
      </c>
      <c r="R20" s="58">
        <f t="shared" ref="R20:R25" si="16">P20*F20</f>
        <v>0</v>
      </c>
      <c r="S20" s="58">
        <f>P20*G20</f>
        <v>0</v>
      </c>
      <c r="T20" s="58"/>
      <c r="U20" s="59"/>
      <c r="V20" s="57"/>
      <c r="W20" s="58">
        <f t="shared" ref="W20:W26" si="17">E20*V20/1000</f>
        <v>0</v>
      </c>
      <c r="X20" s="58">
        <f t="shared" ref="X20:X27" si="18">V20*F20</f>
        <v>0</v>
      </c>
      <c r="Y20" s="58">
        <f>V20*G20</f>
        <v>0</v>
      </c>
      <c r="Z20" s="58"/>
      <c r="AA20" s="59"/>
      <c r="AB20" s="57"/>
      <c r="AC20" s="58">
        <f t="shared" ref="AC20:AC26" si="19">E20*AB20/1000</f>
        <v>0</v>
      </c>
      <c r="AD20" s="58">
        <f t="shared" ref="AD20:AD27" si="20">AB20*F20</f>
        <v>0</v>
      </c>
      <c r="AE20" s="58">
        <f>AB20*G20</f>
        <v>0</v>
      </c>
      <c r="AF20" s="58"/>
      <c r="AG20" s="59"/>
      <c r="AH20" s="85">
        <f ca="1" t="shared" ref="AH20:AL20" si="21">K29+Q29+W29+AC29</f>
        <v>6.69274734420093</v>
      </c>
      <c r="AI20" s="85">
        <f ca="1" t="shared" si="21"/>
        <v>13.32943087017</v>
      </c>
      <c r="AJ20" s="85">
        <f ca="1" t="shared" si="21"/>
        <v>11.99340519238</v>
      </c>
      <c r="AK20" s="85">
        <f ca="1" t="shared" si="21"/>
        <v>9.6208367922</v>
      </c>
      <c r="AL20" s="85">
        <f t="shared" si="21"/>
        <v>0</v>
      </c>
    </row>
    <row r="21" s="26" customFormat="1" ht="14" customHeight="1" spans="1:33">
      <c r="A21" s="35">
        <v>2</v>
      </c>
      <c r="B21" s="36" t="s">
        <v>266</v>
      </c>
      <c r="C21" s="37" t="s">
        <v>60</v>
      </c>
      <c r="D21" s="37">
        <v>1</v>
      </c>
      <c r="E21" s="38">
        <v>375.8161</v>
      </c>
      <c r="F21" s="38">
        <v>0.5219</v>
      </c>
      <c r="G21" s="38">
        <v>0.8666</v>
      </c>
      <c r="H21" s="38"/>
      <c r="I21" s="74"/>
      <c r="J21" s="57"/>
      <c r="K21" s="58">
        <f t="shared" si="13"/>
        <v>0</v>
      </c>
      <c r="L21" s="58">
        <f t="shared" si="14"/>
        <v>0</v>
      </c>
      <c r="M21" s="58">
        <f>J21*G21</f>
        <v>0</v>
      </c>
      <c r="N21" s="58"/>
      <c r="O21" s="59"/>
      <c r="P21" s="57">
        <f ca="1">工程量计算稿!E38</f>
        <v>9.2961303</v>
      </c>
      <c r="Q21" s="58">
        <f ca="1" t="shared" si="15"/>
        <v>3.49363543443783</v>
      </c>
      <c r="R21" s="58">
        <f ca="1" t="shared" si="16"/>
        <v>4.85165040357</v>
      </c>
      <c r="S21" s="58">
        <f ca="1">P21*G21</f>
        <v>8.05602651798</v>
      </c>
      <c r="T21" s="58"/>
      <c r="U21" s="59"/>
      <c r="V21" s="57"/>
      <c r="W21" s="58">
        <f t="shared" si="17"/>
        <v>0</v>
      </c>
      <c r="X21" s="58">
        <f t="shared" si="18"/>
        <v>0</v>
      </c>
      <c r="Y21" s="58">
        <f>V21*G21</f>
        <v>0</v>
      </c>
      <c r="Z21" s="58"/>
      <c r="AA21" s="59"/>
      <c r="AB21" s="57">
        <f ca="1">工程量计算稿!E87</f>
        <v>2.4354</v>
      </c>
      <c r="AC21" s="58">
        <f ca="1" t="shared" si="19"/>
        <v>0.91526252994</v>
      </c>
      <c r="AD21" s="58">
        <f ca="1" t="shared" si="20"/>
        <v>1.27103526</v>
      </c>
      <c r="AE21" s="58">
        <f ca="1">AB21*G21</f>
        <v>2.11051764</v>
      </c>
      <c r="AF21" s="58"/>
      <c r="AG21" s="59"/>
    </row>
    <row r="22" s="26" customFormat="1" ht="14" customHeight="1" spans="1:33">
      <c r="A22" s="35">
        <v>3</v>
      </c>
      <c r="B22" s="36" t="s">
        <v>111</v>
      </c>
      <c r="C22" s="37" t="s">
        <v>60</v>
      </c>
      <c r="D22" s="37">
        <v>1</v>
      </c>
      <c r="E22" s="38">
        <v>66.033</v>
      </c>
      <c r="F22" s="38">
        <v>0.25</v>
      </c>
      <c r="G22" s="38"/>
      <c r="H22" s="38">
        <f>534/1000</f>
        <v>0.534</v>
      </c>
      <c r="I22" s="74"/>
      <c r="J22" s="57">
        <f ca="1">工程量计算稿!E18</f>
        <v>1.0752</v>
      </c>
      <c r="K22" s="58">
        <f ca="1" t="shared" si="13"/>
        <v>0.0709986816</v>
      </c>
      <c r="L22" s="58">
        <f ca="1" t="shared" si="14"/>
        <v>0.2688</v>
      </c>
      <c r="M22" s="58"/>
      <c r="N22" s="58">
        <f ca="1">J22*H22</f>
        <v>0.5741568</v>
      </c>
      <c r="O22" s="59"/>
      <c r="P22" s="57">
        <f ca="1">工程量计算稿!E45</f>
        <v>12.7149483</v>
      </c>
      <c r="Q22" s="58">
        <f ca="1" t="shared" si="15"/>
        <v>0.8396061810939</v>
      </c>
      <c r="R22" s="58">
        <f ca="1" t="shared" si="16"/>
        <v>3.178737075</v>
      </c>
      <c r="S22" s="58"/>
      <c r="T22" s="58">
        <f ca="1">P22*H22</f>
        <v>6.7897823922</v>
      </c>
      <c r="U22" s="59"/>
      <c r="V22" s="57"/>
      <c r="W22" s="58">
        <f t="shared" si="17"/>
        <v>0</v>
      </c>
      <c r="X22" s="58">
        <f t="shared" si="18"/>
        <v>0</v>
      </c>
      <c r="Y22" s="58"/>
      <c r="Z22" s="58">
        <f>V22*H22</f>
        <v>0</v>
      </c>
      <c r="AA22" s="59"/>
      <c r="AB22" s="57">
        <f ca="1">工程量计算稿!E83+工程量计算稿!E85</f>
        <v>4.2264</v>
      </c>
      <c r="AC22" s="58">
        <f ca="1" t="shared" si="19"/>
        <v>0.2790818712</v>
      </c>
      <c r="AD22" s="58">
        <f ca="1" t="shared" si="20"/>
        <v>1.0566</v>
      </c>
      <c r="AE22" s="58"/>
      <c r="AF22" s="58">
        <f ca="1">AB22*H22</f>
        <v>2.2568976</v>
      </c>
      <c r="AG22" s="59"/>
    </row>
    <row r="23" s="26" customFormat="1" ht="14" customHeight="1" spans="1:33">
      <c r="A23" s="35">
        <v>4</v>
      </c>
      <c r="B23" s="39" t="s">
        <v>267</v>
      </c>
      <c r="C23" s="37" t="s">
        <v>60</v>
      </c>
      <c r="D23" s="37">
        <v>1</v>
      </c>
      <c r="E23" s="38">
        <f>34.4/100*261</f>
        <v>89.784</v>
      </c>
      <c r="F23" s="38">
        <f>34.4/100*1.11</f>
        <v>0.38184</v>
      </c>
      <c r="G23" s="38"/>
      <c r="H23" s="38"/>
      <c r="I23" s="74">
        <f>108/100</f>
        <v>1.08</v>
      </c>
      <c r="J23" s="57"/>
      <c r="K23" s="58"/>
      <c r="L23" s="58"/>
      <c r="M23" s="58"/>
      <c r="N23" s="58"/>
      <c r="O23" s="59"/>
      <c r="P23" s="57"/>
      <c r="Q23" s="58">
        <f t="shared" si="15"/>
        <v>0</v>
      </c>
      <c r="R23" s="58">
        <f t="shared" si="16"/>
        <v>0</v>
      </c>
      <c r="S23" s="58"/>
      <c r="T23" s="58"/>
      <c r="U23" s="59"/>
      <c r="V23" s="57"/>
      <c r="W23" s="58">
        <f t="shared" si="17"/>
        <v>0</v>
      </c>
      <c r="X23" s="58">
        <f t="shared" si="18"/>
        <v>0</v>
      </c>
      <c r="Y23" s="58"/>
      <c r="Z23" s="58"/>
      <c r="AA23" s="59"/>
      <c r="AB23" s="57"/>
      <c r="AC23" s="58">
        <f t="shared" si="19"/>
        <v>0</v>
      </c>
      <c r="AD23" s="58">
        <f t="shared" si="20"/>
        <v>0</v>
      </c>
      <c r="AE23" s="58"/>
      <c r="AF23" s="58"/>
      <c r="AG23" s="59"/>
    </row>
    <row r="24" s="26" customFormat="1" ht="14" customHeight="1" spans="1:33">
      <c r="A24" s="35">
        <v>5</v>
      </c>
      <c r="B24" s="36" t="s">
        <v>120</v>
      </c>
      <c r="C24" s="37" t="s">
        <v>60</v>
      </c>
      <c r="D24" s="37">
        <v>1</v>
      </c>
      <c r="E24" s="38">
        <v>7.717</v>
      </c>
      <c r="F24" s="38">
        <v>0.02</v>
      </c>
      <c r="G24" s="38"/>
      <c r="H24" s="38"/>
      <c r="I24" s="74"/>
      <c r="J24" s="57">
        <f ca="1">工程量计算稿!E27</f>
        <v>10.0736</v>
      </c>
      <c r="K24" s="58">
        <f ca="1">E24*J24/1000</f>
        <v>0.0777379712</v>
      </c>
      <c r="L24" s="58">
        <f ca="1">J24*F24</f>
        <v>0.201472</v>
      </c>
      <c r="M24" s="58"/>
      <c r="N24" s="58"/>
      <c r="O24" s="59"/>
      <c r="P24" s="57">
        <f ca="1">工程量计算稿!E43</f>
        <v>63.485184</v>
      </c>
      <c r="Q24" s="58">
        <f ca="1" t="shared" si="15"/>
        <v>0.489915164928</v>
      </c>
      <c r="R24" s="58">
        <f ca="1" t="shared" si="16"/>
        <v>1.26970368</v>
      </c>
      <c r="S24" s="58"/>
      <c r="T24" s="58"/>
      <c r="U24" s="59"/>
      <c r="V24" s="57"/>
      <c r="W24" s="58">
        <f t="shared" si="17"/>
        <v>0</v>
      </c>
      <c r="X24" s="58">
        <f t="shared" si="18"/>
        <v>0</v>
      </c>
      <c r="Y24" s="58"/>
      <c r="Z24" s="58"/>
      <c r="AA24" s="59"/>
      <c r="AB24" s="57">
        <f ca="1">工程量计算稿!E96+工程量计算稿!E99</f>
        <v>16.203</v>
      </c>
      <c r="AC24" s="58">
        <f ca="1" t="shared" si="19"/>
        <v>0.125038551</v>
      </c>
      <c r="AD24" s="58">
        <f ca="1" t="shared" si="20"/>
        <v>0.32406</v>
      </c>
      <c r="AE24" s="58"/>
      <c r="AF24" s="58"/>
      <c r="AG24" s="59"/>
    </row>
    <row r="25" s="26" customFormat="1" ht="14" customHeight="1" spans="1:33">
      <c r="A25" s="35">
        <v>6</v>
      </c>
      <c r="B25" s="36" t="s">
        <v>268</v>
      </c>
      <c r="C25" s="37" t="s">
        <v>121</v>
      </c>
      <c r="D25" s="37">
        <v>1</v>
      </c>
      <c r="E25" s="38">
        <f>403.17/100+99.48/100</f>
        <v>5.0265</v>
      </c>
      <c r="F25" s="38">
        <f>0.77/100+0.09/100</f>
        <v>0.0086</v>
      </c>
      <c r="G25" s="38"/>
      <c r="H25" s="38"/>
      <c r="I25" s="74"/>
      <c r="J25" s="57"/>
      <c r="K25" s="58">
        <f>E25*J25/1000</f>
        <v>0</v>
      </c>
      <c r="L25" s="58">
        <f>J25*F25</f>
        <v>0</v>
      </c>
      <c r="M25" s="58"/>
      <c r="N25" s="58"/>
      <c r="O25" s="59"/>
      <c r="P25" s="57">
        <f ca="1">工程量计算稿!E44</f>
        <v>10.32432</v>
      </c>
      <c r="Q25" s="58">
        <f ca="1" t="shared" si="15"/>
        <v>0.05189519448</v>
      </c>
      <c r="R25" s="58">
        <f ca="1" t="shared" si="16"/>
        <v>0.088789152</v>
      </c>
      <c r="S25" s="58"/>
      <c r="T25" s="58"/>
      <c r="U25" s="59"/>
      <c r="V25" s="57"/>
      <c r="W25" s="58">
        <f t="shared" si="17"/>
        <v>0</v>
      </c>
      <c r="X25" s="58">
        <f t="shared" si="18"/>
        <v>0</v>
      </c>
      <c r="Y25" s="58"/>
      <c r="Z25" s="58"/>
      <c r="AA25" s="59"/>
      <c r="AB25" s="57">
        <f ca="1">工程量计算稿!E93</f>
        <v>8.904</v>
      </c>
      <c r="AC25" s="58">
        <f ca="1" t="shared" si="19"/>
        <v>0.044755956</v>
      </c>
      <c r="AD25" s="58">
        <f ca="1" t="shared" si="20"/>
        <v>0.0765744</v>
      </c>
      <c r="AE25" s="58"/>
      <c r="AF25" s="58"/>
      <c r="AG25" s="59"/>
    </row>
    <row r="26" s="26" customFormat="1" ht="14" customHeight="1" spans="1:33">
      <c r="A26" s="35">
        <v>7</v>
      </c>
      <c r="B26" s="39" t="s">
        <v>269</v>
      </c>
      <c r="C26" s="37" t="s">
        <v>121</v>
      </c>
      <c r="D26" s="37">
        <v>1</v>
      </c>
      <c r="E26" s="38">
        <v>52.043</v>
      </c>
      <c r="F26" s="38">
        <v>0.081</v>
      </c>
      <c r="G26" s="38">
        <v>0.129</v>
      </c>
      <c r="H26" s="38"/>
      <c r="I26" s="74"/>
      <c r="J26" s="57"/>
      <c r="K26" s="58"/>
      <c r="L26" s="58"/>
      <c r="M26" s="58"/>
      <c r="N26" s="58"/>
      <c r="O26" s="59"/>
      <c r="P26" s="57"/>
      <c r="Q26" s="58"/>
      <c r="R26" s="58"/>
      <c r="S26" s="58"/>
      <c r="T26" s="58"/>
      <c r="U26" s="59"/>
      <c r="V26" s="57">
        <f ca="1">工程量计算稿!E70</f>
        <v>3.9405204</v>
      </c>
      <c r="W26" s="58">
        <f ca="1" t="shared" si="17"/>
        <v>0.2050765031772</v>
      </c>
      <c r="X26" s="58">
        <f ca="1" t="shared" si="18"/>
        <v>0.3191821524</v>
      </c>
      <c r="Y26" s="58">
        <f ca="1">V26*G26</f>
        <v>0.5083271316</v>
      </c>
      <c r="Z26" s="58"/>
      <c r="AA26" s="59"/>
      <c r="AB26" s="57"/>
      <c r="AC26" s="58">
        <f t="shared" si="19"/>
        <v>0</v>
      </c>
      <c r="AD26" s="58">
        <f t="shared" si="20"/>
        <v>0</v>
      </c>
      <c r="AE26" s="58">
        <f>AB26*G26</f>
        <v>0</v>
      </c>
      <c r="AF26" s="58"/>
      <c r="AG26" s="59"/>
    </row>
    <row r="27" s="26" customFormat="1" ht="14" customHeight="1" spans="1:33">
      <c r="A27" s="35">
        <v>8</v>
      </c>
      <c r="B27" s="36" t="s">
        <v>270</v>
      </c>
      <c r="C27" s="37" t="s">
        <v>60</v>
      </c>
      <c r="D27" s="37">
        <v>1</v>
      </c>
      <c r="E27" s="40"/>
      <c r="F27" s="41">
        <v>0.204</v>
      </c>
      <c r="G27" s="41">
        <v>0.816</v>
      </c>
      <c r="H27" s="41"/>
      <c r="I27" s="75"/>
      <c r="J27" s="57"/>
      <c r="K27" s="58"/>
      <c r="L27" s="61"/>
      <c r="M27" s="61"/>
      <c r="N27" s="61"/>
      <c r="O27" s="62"/>
      <c r="P27" s="57"/>
      <c r="Q27" s="58"/>
      <c r="R27" s="58"/>
      <c r="S27" s="58"/>
      <c r="T27" s="61"/>
      <c r="U27" s="62"/>
      <c r="V27" s="57">
        <f ca="1">工程量计算稿!E67</f>
        <v>1.3135068</v>
      </c>
      <c r="W27" s="58"/>
      <c r="X27" s="58">
        <f ca="1" t="shared" si="18"/>
        <v>0.2679553872</v>
      </c>
      <c r="Y27" s="58">
        <f ca="1">V27*G27</f>
        <v>1.0718215488</v>
      </c>
      <c r="Z27" s="61"/>
      <c r="AA27" s="62"/>
      <c r="AB27" s="57"/>
      <c r="AC27" s="58"/>
      <c r="AD27" s="58">
        <f t="shared" si="20"/>
        <v>0</v>
      </c>
      <c r="AE27" s="58">
        <f>AB27*G27</f>
        <v>0</v>
      </c>
      <c r="AF27" s="61"/>
      <c r="AG27" s="62"/>
    </row>
    <row r="28" s="26" customFormat="1" ht="14" customHeight="1" spans="1:33">
      <c r="A28" s="35">
        <v>9</v>
      </c>
      <c r="B28" s="36" t="s">
        <v>271</v>
      </c>
      <c r="C28" s="37" t="s">
        <v>60</v>
      </c>
      <c r="D28" s="37">
        <v>1</v>
      </c>
      <c r="E28" s="40">
        <v>284.83</v>
      </c>
      <c r="F28" s="41">
        <v>0.56</v>
      </c>
      <c r="G28" s="41">
        <v>0.84</v>
      </c>
      <c r="H28" s="41"/>
      <c r="I28" s="75"/>
      <c r="J28" s="57"/>
      <c r="K28" s="58"/>
      <c r="L28" s="61"/>
      <c r="M28" s="61"/>
      <c r="N28" s="61"/>
      <c r="O28" s="62"/>
      <c r="P28" s="57"/>
      <c r="Q28" s="58"/>
      <c r="R28" s="58"/>
      <c r="S28" s="58"/>
      <c r="T28" s="61"/>
      <c r="U28" s="62"/>
      <c r="V28" s="57"/>
      <c r="W28" s="58"/>
      <c r="X28" s="58"/>
      <c r="Y28" s="61"/>
      <c r="Z28" s="61"/>
      <c r="AA28" s="62"/>
      <c r="AB28" s="57"/>
      <c r="AC28" s="58"/>
      <c r="AD28" s="58"/>
      <c r="AE28" s="61"/>
      <c r="AF28" s="61"/>
      <c r="AG28" s="62"/>
    </row>
    <row r="29" s="26" customFormat="1" ht="14" customHeight="1" spans="1:33">
      <c r="A29" s="42"/>
      <c r="B29" s="43"/>
      <c r="C29" s="43"/>
      <c r="D29" s="43"/>
      <c r="E29" s="43"/>
      <c r="F29" s="43"/>
      <c r="G29" s="43"/>
      <c r="H29" s="43"/>
      <c r="I29" s="76"/>
      <c r="J29" s="64" t="s">
        <v>272</v>
      </c>
      <c r="K29" s="65">
        <f ca="1" t="shared" ref="K29:N29" si="22">SUM(K20:K28)</f>
        <v>0.248479957944</v>
      </c>
      <c r="L29" s="65">
        <f ca="1" t="shared" si="22"/>
        <v>0.62514336</v>
      </c>
      <c r="M29" s="65">
        <f ca="1" t="shared" si="22"/>
        <v>0.246712354</v>
      </c>
      <c r="N29" s="65">
        <f ca="1" t="shared" si="22"/>
        <v>0.5741568</v>
      </c>
      <c r="O29" s="66"/>
      <c r="P29" s="64" t="s">
        <v>272</v>
      </c>
      <c r="Q29" s="65">
        <f ca="1" t="shared" ref="Q29:T29" si="23">SUM(Q20:Q27)</f>
        <v>4.87505197493973</v>
      </c>
      <c r="R29" s="65">
        <f ca="1" t="shared" si="23"/>
        <v>9.38888031057</v>
      </c>
      <c r="S29" s="65">
        <f ca="1" t="shared" si="23"/>
        <v>8.05602651798</v>
      </c>
      <c r="T29" s="65">
        <f ca="1" t="shared" si="23"/>
        <v>6.7897823922</v>
      </c>
      <c r="U29" s="66"/>
      <c r="V29" s="64" t="s">
        <v>272</v>
      </c>
      <c r="W29" s="65">
        <f ca="1" t="shared" ref="W29:Z29" si="24">SUM(W20:W27)</f>
        <v>0.2050765031772</v>
      </c>
      <c r="X29" s="65">
        <f ca="1" t="shared" si="24"/>
        <v>0.5871375396</v>
      </c>
      <c r="Y29" s="65">
        <f ca="1" t="shared" si="24"/>
        <v>1.5801486804</v>
      </c>
      <c r="Z29" s="65">
        <f t="shared" si="24"/>
        <v>0</v>
      </c>
      <c r="AA29" s="66"/>
      <c r="AB29" s="64" t="s">
        <v>272</v>
      </c>
      <c r="AC29" s="65">
        <f ca="1" t="shared" ref="AC29:AF29" si="25">SUM(AC20:AC27)</f>
        <v>1.36413890814</v>
      </c>
      <c r="AD29" s="65">
        <f ca="1" t="shared" si="25"/>
        <v>2.72826966</v>
      </c>
      <c r="AE29" s="65">
        <f ca="1" t="shared" si="25"/>
        <v>2.11051764</v>
      </c>
      <c r="AF29" s="65">
        <f ca="1" t="shared" si="25"/>
        <v>2.2568976</v>
      </c>
      <c r="AG29" s="66"/>
    </row>
    <row r="31" ht="24" spans="34:38">
      <c r="AH31" s="82" t="s">
        <v>263</v>
      </c>
      <c r="AI31" s="83" t="s">
        <v>259</v>
      </c>
      <c r="AJ31" s="83" t="s">
        <v>260</v>
      </c>
      <c r="AK31" s="83" t="s">
        <v>261</v>
      </c>
      <c r="AL31" s="84" t="s">
        <v>262</v>
      </c>
    </row>
    <row r="32" spans="34:38">
      <c r="AH32" s="85" t="e">
        <f ca="1">AH5+AH20+#REF!</f>
        <v>#REF!</v>
      </c>
      <c r="AI32" s="85" t="e">
        <f ca="1">AI5+AI20+#REF!</f>
        <v>#REF!</v>
      </c>
      <c r="AJ32" s="85" t="e">
        <f ca="1">AJ5+AJ20+#REF!</f>
        <v>#REF!</v>
      </c>
      <c r="AK32" s="85" t="e">
        <f ca="1">AK5+AK20+#REF!</f>
        <v>#REF!</v>
      </c>
      <c r="AL32" s="85" t="e">
        <f>AL5+AL20+#REF!</f>
        <v>#REF!</v>
      </c>
    </row>
  </sheetData>
  <mergeCells count="42">
    <mergeCell ref="A1:I1"/>
    <mergeCell ref="J1:AG1"/>
    <mergeCell ref="A2:I2"/>
    <mergeCell ref="J2:O2"/>
    <mergeCell ref="P2:U2"/>
    <mergeCell ref="V2:AA2"/>
    <mergeCell ref="AB2:AG2"/>
    <mergeCell ref="E3:I3"/>
    <mergeCell ref="K3:O3"/>
    <mergeCell ref="Q3:U3"/>
    <mergeCell ref="W3:AA3"/>
    <mergeCell ref="AC3:AG3"/>
    <mergeCell ref="AH3:AL3"/>
    <mergeCell ref="A16:I16"/>
    <mergeCell ref="J16:AG16"/>
    <mergeCell ref="A17:I17"/>
    <mergeCell ref="J17:O17"/>
    <mergeCell ref="P17:U17"/>
    <mergeCell ref="V17:AA17"/>
    <mergeCell ref="AB17:AG17"/>
    <mergeCell ref="E18:I18"/>
    <mergeCell ref="K18:O18"/>
    <mergeCell ref="Q18:U18"/>
    <mergeCell ref="W18:AA18"/>
    <mergeCell ref="AC18:AG18"/>
    <mergeCell ref="AH18:AL18"/>
    <mergeCell ref="A3:A4"/>
    <mergeCell ref="A18:A19"/>
    <mergeCell ref="B3:B4"/>
    <mergeCell ref="B18:B19"/>
    <mergeCell ref="C3:C4"/>
    <mergeCell ref="C18:C19"/>
    <mergeCell ref="D3:D4"/>
    <mergeCell ref="D18:D19"/>
    <mergeCell ref="J3:J4"/>
    <mergeCell ref="J18:J19"/>
    <mergeCell ref="P3:P4"/>
    <mergeCell ref="P18:P19"/>
    <mergeCell ref="V3:V4"/>
    <mergeCell ref="V18:V19"/>
    <mergeCell ref="AB3:AB4"/>
    <mergeCell ref="AB18:AB19"/>
  </mergeCells>
  <pageMargins left="0.75" right="0.75" top="1" bottom="1" header="0.5" footer="0.5"/>
  <pageSetup paperSize="9" scale="55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selection activeCell="F26" sqref="F26"/>
    </sheetView>
  </sheetViews>
  <sheetFormatPr defaultColWidth="9.14166666666667" defaultRowHeight="17" customHeight="1"/>
  <cols>
    <col min="1" max="1" width="7.66666666666667" style="3" customWidth="1"/>
    <col min="2" max="2" width="18.6666666666667" style="4" customWidth="1"/>
    <col min="3" max="3" width="6.66666666666667" style="5" customWidth="1"/>
    <col min="4" max="4" width="14.4333333333333" style="1" customWidth="1"/>
    <col min="5" max="5" width="12" style="1" customWidth="1"/>
    <col min="6" max="7" width="13.55" style="1" customWidth="1"/>
    <col min="8" max="256" width="8.88333333333333" style="1"/>
    <col min="257" max="16384" width="9.14166666666667" style="1"/>
  </cols>
  <sheetData>
    <row r="1" s="1" customFormat="1" ht="37" customHeight="1" spans="1:7">
      <c r="A1" s="6" t="s">
        <v>273</v>
      </c>
      <c r="B1" s="7"/>
      <c r="C1" s="6"/>
      <c r="D1" s="8"/>
      <c r="E1" s="6"/>
      <c r="F1" s="8"/>
      <c r="G1" s="6"/>
    </row>
    <row r="2" s="1" customFormat="1" customHeight="1" spans="1:7">
      <c r="A2" s="9" t="s">
        <v>22</v>
      </c>
      <c r="B2" s="9"/>
      <c r="C2" s="9"/>
      <c r="D2" s="9"/>
      <c r="E2" s="9"/>
      <c r="F2" s="9"/>
      <c r="G2" s="9"/>
    </row>
    <row r="3" s="1" customFormat="1" ht="24" spans="1:7">
      <c r="A3" s="10" t="s">
        <v>23</v>
      </c>
      <c r="B3" s="10" t="s">
        <v>274</v>
      </c>
      <c r="C3" s="10" t="s">
        <v>25</v>
      </c>
      <c r="D3" s="10" t="s">
        <v>275</v>
      </c>
      <c r="E3" s="10" t="s">
        <v>276</v>
      </c>
      <c r="F3" s="10" t="s">
        <v>277</v>
      </c>
      <c r="G3" s="10" t="s">
        <v>48</v>
      </c>
    </row>
    <row r="4" s="1" customFormat="1" customHeight="1" spans="1:14">
      <c r="A4" s="11">
        <v>1</v>
      </c>
      <c r="B4" s="12" t="s">
        <v>278</v>
      </c>
      <c r="C4" s="13" t="s">
        <v>279</v>
      </c>
      <c r="D4" s="14">
        <v>1.41</v>
      </c>
      <c r="E4" s="15">
        <v>0.9715</v>
      </c>
      <c r="F4" s="16">
        <f t="shared" ref="F4:F11" si="0">D4/E4</f>
        <v>1.45136387030365</v>
      </c>
      <c r="G4" s="17"/>
      <c r="I4" s="1" t="s">
        <v>278</v>
      </c>
      <c r="K4" s="1" t="s">
        <v>279</v>
      </c>
      <c r="L4" s="1">
        <v>1.41</v>
      </c>
      <c r="N4" s="1" t="s">
        <v>280</v>
      </c>
    </row>
    <row r="5" s="1" customFormat="1" customHeight="1" spans="1:14">
      <c r="A5" s="11">
        <v>2</v>
      </c>
      <c r="B5" s="12" t="s">
        <v>281</v>
      </c>
      <c r="C5" s="13" t="s">
        <v>60</v>
      </c>
      <c r="D5" s="14">
        <v>1.45</v>
      </c>
      <c r="E5" s="15">
        <v>0.9715</v>
      </c>
      <c r="F5" s="16">
        <f t="shared" si="0"/>
        <v>1.49253731343284</v>
      </c>
      <c r="G5" s="17"/>
      <c r="I5" s="1" t="s">
        <v>281</v>
      </c>
      <c r="K5" s="1" t="s">
        <v>60</v>
      </c>
      <c r="L5" s="1">
        <v>1.45</v>
      </c>
      <c r="N5" s="1" t="s">
        <v>280</v>
      </c>
    </row>
    <row r="6" s="1" customFormat="1" customHeight="1" spans="1:14">
      <c r="A6" s="11">
        <v>3</v>
      </c>
      <c r="B6" s="12" t="s">
        <v>282</v>
      </c>
      <c r="C6" s="13" t="s">
        <v>60</v>
      </c>
      <c r="D6" s="14">
        <v>0.21</v>
      </c>
      <c r="E6" s="15">
        <v>0.9715</v>
      </c>
      <c r="F6" s="16">
        <f t="shared" si="0"/>
        <v>0.216160576428204</v>
      </c>
      <c r="G6" s="17"/>
      <c r="I6" s="1" t="s">
        <v>282</v>
      </c>
      <c r="K6" s="1" t="s">
        <v>60</v>
      </c>
      <c r="L6" s="1">
        <v>0.21</v>
      </c>
      <c r="N6" s="1" t="s">
        <v>280</v>
      </c>
    </row>
    <row r="7" s="1" customFormat="1" customHeight="1" spans="1:14">
      <c r="A7" s="11">
        <v>4</v>
      </c>
      <c r="B7" s="12" t="s">
        <v>283</v>
      </c>
      <c r="C7" s="13" t="s">
        <v>284</v>
      </c>
      <c r="D7" s="14">
        <v>7.56</v>
      </c>
      <c r="E7" s="15">
        <v>0.8577</v>
      </c>
      <c r="F7" s="16">
        <f t="shared" si="0"/>
        <v>8.81427072402938</v>
      </c>
      <c r="G7" s="17"/>
      <c r="I7" s="1" t="s">
        <v>283</v>
      </c>
      <c r="K7" s="1" t="s">
        <v>284</v>
      </c>
      <c r="L7" s="1">
        <v>7.56</v>
      </c>
      <c r="M7" s="1">
        <v>3</v>
      </c>
      <c r="N7" s="1" t="s">
        <v>285</v>
      </c>
    </row>
    <row r="8" s="1" customFormat="1" customHeight="1" spans="1:14">
      <c r="A8" s="11">
        <v>5</v>
      </c>
      <c r="B8" s="12" t="s">
        <v>286</v>
      </c>
      <c r="C8" s="13" t="s">
        <v>284</v>
      </c>
      <c r="D8" s="14">
        <v>9.18</v>
      </c>
      <c r="E8" s="15">
        <v>0.8577</v>
      </c>
      <c r="F8" s="16">
        <f t="shared" si="0"/>
        <v>10.7030430220357</v>
      </c>
      <c r="G8" s="17"/>
      <c r="I8" s="1" t="s">
        <v>286</v>
      </c>
      <c r="K8" s="1" t="s">
        <v>284</v>
      </c>
      <c r="L8" s="1">
        <v>9.18</v>
      </c>
      <c r="M8" s="1">
        <v>3.1</v>
      </c>
      <c r="N8" s="1" t="s">
        <v>285</v>
      </c>
    </row>
    <row r="9" s="1" customFormat="1" customHeight="1" spans="1:14">
      <c r="A9" s="11">
        <v>6</v>
      </c>
      <c r="B9" s="12" t="s">
        <v>64</v>
      </c>
      <c r="C9" s="13" t="s">
        <v>58</v>
      </c>
      <c r="D9" s="14">
        <v>3791.26</v>
      </c>
      <c r="E9" s="15">
        <v>0.8577</v>
      </c>
      <c r="F9" s="16">
        <f t="shared" si="0"/>
        <v>4420.26349539466</v>
      </c>
      <c r="G9" s="17"/>
      <c r="I9" s="1" t="s">
        <v>64</v>
      </c>
      <c r="K9" s="1" t="s">
        <v>58</v>
      </c>
      <c r="L9" s="1">
        <v>3791.26</v>
      </c>
      <c r="M9" s="1">
        <v>2600</v>
      </c>
      <c r="N9" s="1" t="s">
        <v>285</v>
      </c>
    </row>
    <row r="10" s="1" customFormat="1" customHeight="1" spans="1:14">
      <c r="A10" s="11">
        <v>7</v>
      </c>
      <c r="B10" s="12" t="s">
        <v>287</v>
      </c>
      <c r="C10" s="13" t="s">
        <v>284</v>
      </c>
      <c r="D10" s="14">
        <v>15.08</v>
      </c>
      <c r="E10" s="15">
        <v>0.8577</v>
      </c>
      <c r="F10" s="16">
        <f t="shared" si="0"/>
        <v>17.5819050950216</v>
      </c>
      <c r="G10" s="17"/>
      <c r="I10" s="1" t="s">
        <v>287</v>
      </c>
      <c r="K10" s="1" t="s">
        <v>284</v>
      </c>
      <c r="L10" s="1">
        <v>15.08</v>
      </c>
      <c r="M10" s="1">
        <v>5.2</v>
      </c>
      <c r="N10" s="1" t="s">
        <v>285</v>
      </c>
    </row>
    <row r="11" s="1" customFormat="1" customHeight="1" spans="1:13">
      <c r="A11" s="11">
        <v>8</v>
      </c>
      <c r="B11" s="12" t="s">
        <v>288</v>
      </c>
      <c r="C11" s="13" t="s">
        <v>284</v>
      </c>
      <c r="D11" s="18">
        <v>0.46</v>
      </c>
      <c r="E11" s="19">
        <v>0.8577</v>
      </c>
      <c r="F11" s="20">
        <f t="shared" si="0"/>
        <v>0.536318059927714</v>
      </c>
      <c r="G11" s="17"/>
      <c r="I11" s="1" t="s">
        <v>57</v>
      </c>
      <c r="J11" s="1">
        <v>32.5</v>
      </c>
      <c r="K11" s="1" t="s">
        <v>284</v>
      </c>
      <c r="L11" s="1">
        <v>0.46</v>
      </c>
      <c r="M11" s="1">
        <v>0.26</v>
      </c>
    </row>
    <row r="12" s="1" customFormat="1" customHeight="1" spans="1:13">
      <c r="A12" s="11">
        <v>10</v>
      </c>
      <c r="B12" s="12" t="s">
        <v>289</v>
      </c>
      <c r="C12" s="13" t="s">
        <v>60</v>
      </c>
      <c r="D12" s="14">
        <v>188.99</v>
      </c>
      <c r="E12" s="15">
        <v>0.9715</v>
      </c>
      <c r="F12" s="16">
        <f t="shared" ref="F12:F27" si="1">D12/E12</f>
        <v>194.534225424601</v>
      </c>
      <c r="G12" s="17"/>
      <c r="I12" s="1" t="s">
        <v>290</v>
      </c>
      <c r="J12" s="1" t="s">
        <v>291</v>
      </c>
      <c r="K12" s="1" t="s">
        <v>60</v>
      </c>
      <c r="L12" s="1">
        <v>188.99</v>
      </c>
      <c r="M12" s="1">
        <v>70</v>
      </c>
    </row>
    <row r="13" s="1" customFormat="1" customHeight="1" spans="1:13">
      <c r="A13" s="11">
        <v>11</v>
      </c>
      <c r="B13" s="12" t="s">
        <v>61</v>
      </c>
      <c r="C13" s="13" t="s">
        <v>60</v>
      </c>
      <c r="D13" s="14">
        <v>122</v>
      </c>
      <c r="E13" s="15">
        <v>0.9715</v>
      </c>
      <c r="F13" s="16">
        <f t="shared" si="1"/>
        <v>125.579001544004</v>
      </c>
      <c r="G13" s="17"/>
      <c r="I13" s="1" t="s">
        <v>61</v>
      </c>
      <c r="K13" s="1" t="s">
        <v>60</v>
      </c>
      <c r="L13" s="1">
        <v>122</v>
      </c>
      <c r="M13" s="1">
        <v>70</v>
      </c>
    </row>
    <row r="14" s="1" customFormat="1" customHeight="1" spans="1:13">
      <c r="A14" s="11">
        <v>12</v>
      </c>
      <c r="B14" s="12" t="s">
        <v>292</v>
      </c>
      <c r="C14" s="13" t="s">
        <v>60</v>
      </c>
      <c r="D14" s="14">
        <v>70</v>
      </c>
      <c r="E14" s="15">
        <v>0.9715</v>
      </c>
      <c r="F14" s="16">
        <f t="shared" si="1"/>
        <v>72.0535254760679</v>
      </c>
      <c r="G14" s="17"/>
      <c r="I14" s="1" t="s">
        <v>292</v>
      </c>
      <c r="K14" s="1" t="s">
        <v>60</v>
      </c>
      <c r="L14" s="1">
        <v>70</v>
      </c>
      <c r="M14" s="1">
        <v>70</v>
      </c>
    </row>
    <row r="15" s="1" customFormat="1" customHeight="1" spans="1:13">
      <c r="A15" s="11">
        <v>13</v>
      </c>
      <c r="B15" s="12" t="s">
        <v>293</v>
      </c>
      <c r="C15" s="13" t="s">
        <v>60</v>
      </c>
      <c r="D15" s="14">
        <v>164</v>
      </c>
      <c r="E15" s="15">
        <v>0.9715</v>
      </c>
      <c r="F15" s="16">
        <f t="shared" si="1"/>
        <v>168.811116829645</v>
      </c>
      <c r="G15" s="17"/>
      <c r="I15" s="1" t="s">
        <v>293</v>
      </c>
      <c r="K15" s="1" t="s">
        <v>60</v>
      </c>
      <c r="L15" s="1">
        <v>164</v>
      </c>
      <c r="M15" s="1">
        <v>70</v>
      </c>
    </row>
    <row r="16" s="1" customFormat="1" customHeight="1" spans="1:14">
      <c r="A16" s="11">
        <v>14</v>
      </c>
      <c r="B16" s="12" t="s">
        <v>294</v>
      </c>
      <c r="C16" s="13" t="s">
        <v>295</v>
      </c>
      <c r="D16" s="14">
        <v>579.16</v>
      </c>
      <c r="E16" s="15">
        <v>0.9715</v>
      </c>
      <c r="F16" s="16">
        <f t="shared" si="1"/>
        <v>596.150283067421</v>
      </c>
      <c r="G16" s="17"/>
      <c r="I16" s="1" t="s">
        <v>294</v>
      </c>
      <c r="K16" s="1" t="s">
        <v>295</v>
      </c>
      <c r="L16" s="1">
        <v>579.16</v>
      </c>
      <c r="N16" s="1" t="s">
        <v>285</v>
      </c>
    </row>
    <row r="17" s="1" customFormat="1" customHeight="1" spans="1:12">
      <c r="A17" s="11">
        <v>15</v>
      </c>
      <c r="B17" s="12" t="s">
        <v>296</v>
      </c>
      <c r="C17" s="13" t="s">
        <v>284</v>
      </c>
      <c r="D17" s="14">
        <v>6</v>
      </c>
      <c r="E17" s="15">
        <v>0.8577</v>
      </c>
      <c r="F17" s="16">
        <f t="shared" si="1"/>
        <v>6.99545295557887</v>
      </c>
      <c r="G17" s="17"/>
      <c r="I17" s="1" t="s">
        <v>296</v>
      </c>
      <c r="K17" s="25" t="s">
        <v>284</v>
      </c>
      <c r="L17" s="1">
        <v>6</v>
      </c>
    </row>
    <row r="18" s="1" customFormat="1" customHeight="1" spans="1:12">
      <c r="A18" s="11">
        <v>16</v>
      </c>
      <c r="B18" s="12" t="s">
        <v>297</v>
      </c>
      <c r="C18" s="13" t="s">
        <v>284</v>
      </c>
      <c r="D18" s="14">
        <v>3.4</v>
      </c>
      <c r="E18" s="15">
        <v>0.8577</v>
      </c>
      <c r="F18" s="16">
        <f t="shared" si="1"/>
        <v>3.96409000816136</v>
      </c>
      <c r="G18" s="17"/>
      <c r="I18" s="1" t="s">
        <v>297</v>
      </c>
      <c r="K18" s="1" t="s">
        <v>284</v>
      </c>
      <c r="L18" s="1">
        <v>3.4</v>
      </c>
    </row>
    <row r="19" s="1" customFormat="1" customHeight="1" spans="1:12">
      <c r="A19" s="11">
        <v>17</v>
      </c>
      <c r="B19" s="12" t="s">
        <v>298</v>
      </c>
      <c r="C19" s="13" t="s">
        <v>284</v>
      </c>
      <c r="D19" s="14">
        <v>3.57</v>
      </c>
      <c r="E19" s="15">
        <v>0.8577</v>
      </c>
      <c r="F19" s="16">
        <f t="shared" si="1"/>
        <v>4.16229450856943</v>
      </c>
      <c r="G19" s="17"/>
      <c r="I19" s="1" t="s">
        <v>298</v>
      </c>
      <c r="K19" s="1" t="s">
        <v>284</v>
      </c>
      <c r="L19" s="1">
        <v>3.57</v>
      </c>
    </row>
    <row r="20" s="1" customFormat="1" customHeight="1" spans="1:12">
      <c r="A20" s="11">
        <v>18</v>
      </c>
      <c r="B20" s="12" t="s">
        <v>299</v>
      </c>
      <c r="C20" s="13" t="s">
        <v>168</v>
      </c>
      <c r="D20" s="14">
        <v>1.3</v>
      </c>
      <c r="E20" s="15">
        <v>0.8577</v>
      </c>
      <c r="F20" s="16">
        <f t="shared" si="1"/>
        <v>1.51568147370876</v>
      </c>
      <c r="G20" s="17"/>
      <c r="I20" s="1" t="s">
        <v>300</v>
      </c>
      <c r="K20" s="1" t="s">
        <v>168</v>
      </c>
      <c r="L20" s="1">
        <v>1.3</v>
      </c>
    </row>
    <row r="21" s="1" customFormat="1" customHeight="1" spans="1:12">
      <c r="A21" s="11">
        <v>19</v>
      </c>
      <c r="B21" s="12" t="s">
        <v>301</v>
      </c>
      <c r="C21" s="13" t="s">
        <v>60</v>
      </c>
      <c r="D21" s="14">
        <v>521.8</v>
      </c>
      <c r="E21" s="15">
        <v>0.8577</v>
      </c>
      <c r="F21" s="16">
        <f t="shared" si="1"/>
        <v>608.371225370176</v>
      </c>
      <c r="G21" s="17"/>
      <c r="I21" s="2" t="s">
        <v>301</v>
      </c>
      <c r="J21" s="2"/>
      <c r="K21" s="2" t="s">
        <v>60</v>
      </c>
      <c r="L21" s="2">
        <v>521.8</v>
      </c>
    </row>
    <row r="22" s="1" customFormat="1" customHeight="1" spans="1:12">
      <c r="A22" s="11">
        <v>20</v>
      </c>
      <c r="B22" s="12" t="s">
        <v>302</v>
      </c>
      <c r="C22" s="13" t="s">
        <v>104</v>
      </c>
      <c r="D22" s="14">
        <v>25</v>
      </c>
      <c r="E22" s="15">
        <v>0.8577</v>
      </c>
      <c r="F22" s="16">
        <f t="shared" si="1"/>
        <v>29.1477206482453</v>
      </c>
      <c r="G22" s="21"/>
      <c r="I22" s="2" t="s">
        <v>302</v>
      </c>
      <c r="J22" s="2"/>
      <c r="K22" s="2" t="s">
        <v>104</v>
      </c>
      <c r="L22" s="2">
        <v>25</v>
      </c>
    </row>
    <row r="23" s="1" customFormat="1" customHeight="1" spans="1:14">
      <c r="A23" s="11">
        <v>21</v>
      </c>
      <c r="B23" s="12" t="s">
        <v>303</v>
      </c>
      <c r="C23" s="22" t="s">
        <v>104</v>
      </c>
      <c r="D23" s="14">
        <v>1.4</v>
      </c>
      <c r="E23" s="15">
        <v>0.8577</v>
      </c>
      <c r="F23" s="16">
        <f t="shared" si="1"/>
        <v>1.63227235630174</v>
      </c>
      <c r="G23" s="23"/>
      <c r="I23" s="2" t="s">
        <v>303</v>
      </c>
      <c r="J23" s="2"/>
      <c r="K23" s="2" t="s">
        <v>104</v>
      </c>
      <c r="L23" s="2">
        <v>1.4</v>
      </c>
      <c r="M23" s="2"/>
      <c r="N23" s="2"/>
    </row>
    <row r="24" s="1" customFormat="1" customHeight="1" spans="1:14">
      <c r="A24" s="11">
        <v>22</v>
      </c>
      <c r="B24" s="12" t="s">
        <v>304</v>
      </c>
      <c r="C24" s="13" t="s">
        <v>121</v>
      </c>
      <c r="D24" s="14">
        <v>35</v>
      </c>
      <c r="E24" s="15">
        <v>0.8577</v>
      </c>
      <c r="F24" s="16">
        <f t="shared" si="1"/>
        <v>40.8068089075434</v>
      </c>
      <c r="G24" s="21"/>
      <c r="I24" s="1" t="s">
        <v>304</v>
      </c>
      <c r="K24" s="1" t="s">
        <v>121</v>
      </c>
      <c r="L24" s="1">
        <v>35</v>
      </c>
      <c r="M24" s="2"/>
      <c r="N24" s="2"/>
    </row>
    <row r="25" s="1" customFormat="1" customHeight="1" spans="1:12">
      <c r="A25" s="11">
        <v>23</v>
      </c>
      <c r="B25" s="12" t="s">
        <v>305</v>
      </c>
      <c r="C25" s="13" t="s">
        <v>284</v>
      </c>
      <c r="D25" s="14">
        <v>0.9</v>
      </c>
      <c r="E25" s="15">
        <v>0.8577</v>
      </c>
      <c r="F25" s="16">
        <f t="shared" si="1"/>
        <v>1.04931794333683</v>
      </c>
      <c r="G25" s="14"/>
      <c r="I25" s="1" t="s">
        <v>305</v>
      </c>
      <c r="K25" s="1" t="s">
        <v>284</v>
      </c>
      <c r="L25" s="1">
        <v>0.9</v>
      </c>
    </row>
    <row r="26" s="1" customFormat="1" customHeight="1" spans="1:12">
      <c r="A26" s="11">
        <v>21</v>
      </c>
      <c r="B26" s="12" t="s">
        <v>306</v>
      </c>
      <c r="C26" s="13" t="s">
        <v>284</v>
      </c>
      <c r="D26" s="18">
        <v>0.35</v>
      </c>
      <c r="E26" s="19">
        <v>0.8577</v>
      </c>
      <c r="F26" s="20">
        <f t="shared" si="1"/>
        <v>0.408068089075434</v>
      </c>
      <c r="G26" s="14"/>
      <c r="I26" s="1" t="s">
        <v>306</v>
      </c>
      <c r="K26" s="1" t="s">
        <v>284</v>
      </c>
      <c r="L26" s="1">
        <v>0.35</v>
      </c>
    </row>
    <row r="27" s="2" customFormat="1" customHeight="1" spans="1:14">
      <c r="A27" s="11"/>
      <c r="B27" s="24"/>
      <c r="C27" s="13"/>
      <c r="D27" s="14"/>
      <c r="E27" s="15"/>
      <c r="F27" s="16"/>
      <c r="G27" s="14"/>
      <c r="M27" s="1"/>
      <c r="N27" s="1"/>
    </row>
    <row r="28" s="2" customFormat="1" customHeight="1" spans="1:14">
      <c r="A28" s="3"/>
      <c r="B28" s="4"/>
      <c r="C28" s="5"/>
      <c r="D28" s="1"/>
      <c r="E28" s="1"/>
      <c r="F28" s="1"/>
      <c r="G28" s="1"/>
      <c r="I28" s="1"/>
      <c r="J28" s="1"/>
      <c r="K28" s="1"/>
      <c r="L28" s="1"/>
      <c r="M28" s="1"/>
      <c r="N28" s="1"/>
    </row>
  </sheetData>
  <mergeCells count="2">
    <mergeCell ref="A1:G1"/>
    <mergeCell ref="A2:G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封面 </vt:lpstr>
      <vt:lpstr>汇总表</vt:lpstr>
      <vt:lpstr>结算审核明细表</vt:lpstr>
      <vt:lpstr>工程量核对表</vt:lpstr>
      <vt:lpstr>工程量计算稿</vt:lpstr>
      <vt:lpstr>二转材料统计</vt:lpstr>
      <vt:lpstr>材料价格除税表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高山流水</cp:lastModifiedBy>
  <dcterms:created xsi:type="dcterms:W3CDTF">2018-05-26T08:12:00Z</dcterms:created>
  <cp:lastPrinted>2019-01-30T08:22:00Z</cp:lastPrinted>
  <dcterms:modified xsi:type="dcterms:W3CDTF">2024-07-16T12:03:26Z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eadingLayout">
    <vt:bool>true</vt:bool>
  </property>
  <property fmtid="{D5CDD505-2E9C-101B-9397-08002B2CF9AE}" pid="4" name="ICV">
    <vt:lpwstr>D1B6A733CA8D4C63B04411A9CFA11A95</vt:lpwstr>
  </property>
  <property fmtid="{D5CDD505-2E9C-101B-9397-08002B2CF9AE}" pid="5" name="commondata">
    <vt:lpwstr>eyJoZGlkIjoiNjY0ZTcwMjc5NmU1NmVjMjEyMmZhM2ZhZTAwY2U5YmUifQ==</vt:lpwstr>
  </property>
</Properties>
</file>