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783"/>
  </bookViews>
  <sheets>
    <sheet name="封面 " sheetId="14" r:id="rId1"/>
    <sheet name="汇总表" sheetId="1" r:id="rId2"/>
    <sheet name="结算审核表" sheetId="12" r:id="rId3"/>
    <sheet name="工程量核对表" sheetId="3" r:id="rId4"/>
    <sheet name="工程量计算稿" sheetId="7" r:id="rId5"/>
    <sheet name="材料价格除税表" sheetId="13" r:id="rId6"/>
  </sheets>
  <externalReferences>
    <externalReference r:id="rId7"/>
    <externalReference r:id="rId8"/>
  </externalReferences>
  <definedNames>
    <definedName name="_xlnm._FilterDatabase" localSheetId="2" hidden="1">结算审核表!$A$3:$U$103</definedName>
    <definedName name="_xlnm._FilterDatabase" localSheetId="3" hidden="1">工程量核对表!$A$1:$L$96</definedName>
    <definedName name="D">EVALUATE(工程量计算稿!XFD1048574)</definedName>
    <definedName name="_xlnm.Print_Titles" localSheetId="3">工程量核对表!$1:$4</definedName>
    <definedName name="_xlnm.Print_Titles" localSheetId="4">工程量计算稿!$1:$3</definedName>
    <definedName name="_xlnm.Print_Titles" localSheetId="1">汇总表!$1:$4</definedName>
    <definedName name="_xlnm.Print_Titles" localSheetId="2">结算审核表!$1:$5</definedName>
    <definedName name="D" localSheetId="5">EVALUATE([1]工程量计算稿!XFD1048574)</definedName>
    <definedName name="D" localSheetId="0">EVALUATE([2]工程量计算稿!XFD1048574)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<sst xmlns="http://schemas.openxmlformats.org/spreadsheetml/2006/main" count="570" uniqueCount="253">
  <si>
    <t/>
  </si>
  <si>
    <t>南江县和平镇孟山村饮水安全工程</t>
  </si>
  <si>
    <t>结算审计复核情况公示</t>
  </si>
  <si>
    <t>签约合同价(小写):</t>
  </si>
  <si>
    <t>(大写):</t>
  </si>
  <si>
    <t>竣工结算价(小写):</t>
  </si>
  <si>
    <t>结    算
多计金额（小写):</t>
  </si>
  <si>
    <t>发　包　人:</t>
  </si>
  <si>
    <t>南江县和平镇石龙村村民委员会</t>
  </si>
  <si>
    <t>承　包　人:</t>
  </si>
  <si>
    <t>南江县永兴建筑工程有限公司</t>
  </si>
  <si>
    <t>造价咨询人:</t>
  </si>
  <si>
    <t>永道工程咨询（江苏）有限公司</t>
  </si>
  <si>
    <t>(单位盖章)</t>
  </si>
  <si>
    <t>法定代表人
或其授权人:</t>
  </si>
  <si>
    <t xml:space="preserve"> </t>
  </si>
  <si>
    <t>(签字或盖章)</t>
  </si>
  <si>
    <t>复 核 单 位:</t>
  </si>
  <si>
    <t>南江县审计局</t>
  </si>
  <si>
    <t>复  核　人:</t>
  </si>
  <si>
    <t xml:space="preserve">
复 核 时 间:</t>
  </si>
  <si>
    <t>结算审核汇总表</t>
  </si>
  <si>
    <t>工程名称：南江县和平乡孟山村饮水安全工程</t>
  </si>
  <si>
    <t>序号</t>
  </si>
  <si>
    <t>工程项目及名称</t>
  </si>
  <si>
    <t>单位</t>
  </si>
  <si>
    <t>设计预算价（元）</t>
  </si>
  <si>
    <t>竣工结算价（元）</t>
  </si>
  <si>
    <t>结算审核价（元）</t>
  </si>
  <si>
    <t>审核增减（元）</t>
  </si>
  <si>
    <t>备 注</t>
  </si>
  <si>
    <t>设备费</t>
  </si>
  <si>
    <t>安装费</t>
  </si>
  <si>
    <t>相比设计预算价</t>
  </si>
  <si>
    <t>相比竣工结算价</t>
  </si>
  <si>
    <t>元</t>
  </si>
  <si>
    <t>第五部分 独立费用</t>
  </si>
  <si>
    <t>工程总投资</t>
  </si>
  <si>
    <t>其中甲供PE管材费</t>
  </si>
  <si>
    <t>由业主自行核定</t>
  </si>
  <si>
    <t>其中勘察设计费</t>
  </si>
  <si>
    <t>报价下浮1.0%</t>
  </si>
  <si>
    <t>原设计合同金额未按竞争性谈判报价同比例下浮</t>
  </si>
  <si>
    <t>结算总价</t>
  </si>
  <si>
    <t>竣工结算审核明细表</t>
  </si>
  <si>
    <t>编号</t>
  </si>
  <si>
    <t>设计预算价</t>
  </si>
  <si>
    <t>竣工结算价</t>
  </si>
  <si>
    <t>结算审核价</t>
  </si>
  <si>
    <t>备注</t>
  </si>
  <si>
    <t>数量</t>
  </si>
  <si>
    <t>单价(元)</t>
  </si>
  <si>
    <t>合价(元)</t>
  </si>
  <si>
    <t>相比设计预算</t>
  </si>
  <si>
    <t>相比送审结算</t>
  </si>
  <si>
    <t>第一部分 建筑工程</t>
  </si>
  <si>
    <t>无质检资料，参照送审执行C20砼单价</t>
  </si>
  <si>
    <t>签证价</t>
  </si>
  <si>
    <t>项</t>
  </si>
  <si>
    <t>第五部分 勘察设计费</t>
  </si>
  <si>
    <t>工程量核对表</t>
  </si>
  <si>
    <t xml:space="preserve">工程名称：南江县和平乡孟山村饮水安全工程   </t>
  </si>
  <si>
    <t>设计预算
工程量</t>
  </si>
  <si>
    <t>送审
工程量</t>
  </si>
  <si>
    <t>审核
工程量</t>
  </si>
  <si>
    <t>工程量增减</t>
  </si>
  <si>
    <t>相比预算</t>
  </si>
  <si>
    <t>相比送审</t>
  </si>
  <si>
    <t>c20</t>
  </si>
  <si>
    <t>c25</t>
  </si>
  <si>
    <t>锚杆钻孔</t>
  </si>
  <si>
    <t>DN125镀锌管</t>
  </si>
  <si>
    <t>DN100镀锌管</t>
  </si>
  <si>
    <t>DN65镀锌管</t>
  </si>
  <si>
    <t>工程量计算稿</t>
  </si>
  <si>
    <t>计算式</t>
  </si>
  <si>
    <t>工程量</t>
  </si>
  <si>
    <t>一</t>
  </si>
  <si>
    <t>调节池工程</t>
  </si>
  <si>
    <t>φ8.0变φ9.0</t>
  </si>
  <si>
    <t>土方开挖</t>
  </si>
  <si>
    <t>m3</t>
  </si>
  <si>
    <t>(3.14*4.84^2*0.1+(3.14*4.84^2+3.14*5.54^2)/2*2.35)*0.2</t>
  </si>
  <si>
    <t>石方开挖</t>
  </si>
  <si>
    <t>(3.14*4.84^2*0.1+(3.14*4.84^2+3.14*5.54^2)/2*2.35)*0.8</t>
  </si>
  <si>
    <t>土石方回填</t>
  </si>
  <si>
    <t>(3.14*4.84^2+3.14*5.54^2)/2*2.35-3.14*4.74^2*2.35</t>
  </si>
  <si>
    <t>底板C20砼 2级配 32.5水泥 粒径40mm</t>
  </si>
  <si>
    <t>3.14*4.84^2*0.1+3.14*4.74^2*0.2</t>
  </si>
  <si>
    <t>顶板C25砼 2级配 32.5水泥 粒径40mm</t>
  </si>
  <si>
    <t>（3.14*4.74^2-1.04*1.04）*0.15+（9.48*2-0.25）*0.25*0.3</t>
  </si>
  <si>
    <t>M7.5砌砖</t>
  </si>
  <si>
    <t>3.14*9.24*3*0.24+0.37*0.37*2.7</t>
  </si>
  <si>
    <t>木模制安</t>
  </si>
  <si>
    <t>m2</t>
  </si>
  <si>
    <t>3.14*9.48*0.2+（3.14*4.5^2-1.04*1.04）+（9*2-0.25）*0.3*2</t>
  </si>
  <si>
    <t>钢筋制安</t>
  </si>
  <si>
    <t>kg</t>
  </si>
  <si>
    <t>(941.36+1176.92)*0.395+75*3.15*2*0.395+(9.45*2*2.98+9.45*3*3.85+45*0.62*0.395)*2</t>
  </si>
  <si>
    <t>预算单层</t>
  </si>
  <si>
    <t>M10沙浆抹面</t>
  </si>
  <si>
    <t>3.14*9*3+0.37*2.7*4</t>
  </si>
  <si>
    <t>墙面瓷砖粘贴</t>
  </si>
  <si>
    <t>3.14*9.48*0.8</t>
  </si>
  <si>
    <t>通气进人孔</t>
  </si>
  <si>
    <t>套</t>
  </si>
  <si>
    <t>种草绿化</t>
  </si>
  <si>
    <t>二</t>
  </si>
  <si>
    <t>新增围墙工程</t>
  </si>
  <si>
    <t>17.62*19.4</t>
  </si>
  <si>
    <t>大开挖</t>
  </si>
  <si>
    <t>17.68*19.4</t>
  </si>
  <si>
    <t>圈梁C25砼 2级配 32.5水泥 粒径40mm</t>
  </si>
  <si>
    <t>(11.29+13.63+18.76+9.65)*0.25*0.45</t>
  </si>
  <si>
    <t>地面硬化C25砼 2级配 32.5水泥 粒径40mm</t>
  </si>
  <si>
    <r>
      <rPr>
        <sz val="10"/>
        <rFont val="宋体"/>
        <charset val="134"/>
      </rPr>
      <t>（132.75-22.6*0.6）*</t>
    </r>
    <r>
      <rPr>
        <sz val="10"/>
        <color rgb="FFFF0000"/>
        <rFont val="宋体"/>
        <charset val="134"/>
      </rPr>
      <t>0.4</t>
    </r>
    <r>
      <rPr>
        <sz val="10"/>
        <rFont val="宋体"/>
        <charset val="134"/>
      </rPr>
      <t>+((0.9+1.18+1.7+0.9)/4-0.6)*19*</t>
    </r>
    <r>
      <rPr>
        <sz val="10"/>
        <color rgb="FFFF0000"/>
        <rFont val="宋体"/>
        <charset val="134"/>
      </rPr>
      <t>0.4</t>
    </r>
    <r>
      <rPr>
        <sz val="10"/>
        <rFont val="宋体"/>
        <charset val="134"/>
      </rPr>
      <t>+(13.39*18.52-3.14*4.74^2-4.15*7.35)*0.2</t>
    </r>
  </si>
  <si>
    <t>(11.17+13.87+0.24*14)*2.8*0.24+(15.88*1+5.65*1.17)*0.24+0.5*0.5*2.8*2</t>
  </si>
  <si>
    <t>(11.29+13.63+18.76+9.65)*2*2.98+(11.29+13.63+18.76+9.65)*3*3.85+267*0.62*0.395</t>
  </si>
  <si>
    <t>(11.17+13.63+13.87)*2.8+(19+18.52)*1+5.65*1.17*2+(15.88+5.65)*0.24+0.24*4*1.49*10+(0.24*3+0.24*8)*1.49+(0.5*4*2.8-1.17*0.24)*2</t>
  </si>
  <si>
    <t>不锈钢大门</t>
  </si>
  <si>
    <t>2.4*2.75</t>
  </si>
  <si>
    <t>不锈钢栏杆</t>
  </si>
  <si>
    <t>(13.87-(3.91+0.24*5+0.5*2+2.4))*1.49+(19-0.24*13)*1.49</t>
  </si>
  <si>
    <t>三</t>
  </si>
  <si>
    <t>新增管理房工程</t>
  </si>
  <si>
    <t>(7.59*2+3.62*3)*0.25*0.45</t>
  </si>
  <si>
    <t>3.62*3.43*2*0.1</t>
  </si>
  <si>
    <t>4.7*7.59*0.1</t>
  </si>
  <si>
    <t>(7.59*2+3.62*3)*2.9*0.24-(1.3*1.5+0.9*2.1)*2*0.24</t>
  </si>
  <si>
    <t>(39*7.53+63*4.93)*0.617*2+((7.53*2+3.91*3)*2*2.98+(7.53*2+3.91*3)*3*3.85+130*0.62*0.395)</t>
  </si>
  <si>
    <t>(7.59+4.1*2)*3.1+0.6*0.2*2-(1.3*1.5+0.9*2.1)*2-(1.17+2.8)*0.24</t>
  </si>
  <si>
    <t>内墙M10砂浆抹面</t>
  </si>
  <si>
    <t>(3.62+3.43)*2*2.9*2-(1.3*1.5+0.9*2.1)*2+7.59*3+2.8*11.41</t>
  </si>
  <si>
    <t>含围墙背面</t>
  </si>
  <si>
    <t>铝合金玻璃窗</t>
  </si>
  <si>
    <t>1.3*1.5*2</t>
  </si>
  <si>
    <t>防盗门</t>
  </si>
  <si>
    <t>栋</t>
  </si>
  <si>
    <t>四</t>
  </si>
  <si>
    <t>新增沉砂池工程</t>
  </si>
  <si>
    <t>4.3*2.65*1.1</t>
  </si>
  <si>
    <t>C25现浇混凝土</t>
  </si>
  <si>
    <t>4.3*2.65*0.2+(4.3*0.4+1.85*0.3)*0.9*2-0.3*0.6*0.6</t>
  </si>
  <si>
    <t>模板制安</t>
  </si>
  <si>
    <t>(3.7+1.85)*0.9*2-0.6*0.6</t>
  </si>
  <si>
    <t>五</t>
  </si>
  <si>
    <t>新增人工挖孔桩工程</t>
  </si>
  <si>
    <t>3.14*0.7^2*2.0*11</t>
  </si>
  <si>
    <t>3.14*0.7^2*0.3*11</t>
  </si>
  <si>
    <t>C25砼 2级配 32.5水泥 粒径40mm</t>
  </si>
  <si>
    <t>3.14*0.7^2*2.3*11</t>
  </si>
  <si>
    <t>(3.14*1.54*15*0.617+2.3*28*1.58)*11</t>
  </si>
  <si>
    <t>六</t>
  </si>
  <si>
    <t>新增施工便道工程</t>
  </si>
  <si>
    <t>3.5*2.4/2*50*0.9+3.5*2.5/2*40*0.8+3.5*1/2*60*0.9+3.5*2.8/2*50*0.8+3.5*2/2*60*0.7+3.5*1.9/2*60*0.6</t>
  </si>
  <si>
    <t>3.5*2.4/2*50*0.1+3.5*2.5/2*40*0.2+3.5*1/2*60*0.1+3.5*2.8/2*50*0.2+3.5*2/2*60*0.3+3.5*1.9/2*60*0.4</t>
  </si>
  <si>
    <t>七</t>
  </si>
  <si>
    <t>新增管道开挖埋设工程</t>
  </si>
  <si>
    <t>(4500+1200+2000+3800+6000+6000)*0.7*0.2*0.5+(4500+1200+2000+3800+6000+6000)*0.3*0.2*0.3</t>
  </si>
  <si>
    <t>（2068-4500*3.14*0.032^2-1200*3.14*0.025^2-2000*3.14*0.002^2-3800*3.14*0.016^2-6000*3.14*0.013^2-6000*3.14*0.001^2）</t>
  </si>
  <si>
    <t>八</t>
  </si>
  <si>
    <t>新增厂区附属工程</t>
  </si>
  <si>
    <t>沟渠土方开挖</t>
  </si>
  <si>
    <t>0.64*0.315*(19+7.17+0.9)+1*0.8*(16.3+4.8)</t>
  </si>
  <si>
    <t>沟渠模板制安</t>
  </si>
  <si>
    <t>(0.215+0.315)*(19+7.17+0.9)+0.6*2*(16.3+4.8)</t>
  </si>
  <si>
    <t>沟渠C25现浇砼</t>
  </si>
  <si>
    <t>(0.215*0.12+0.64*0.1)*(19+7.17+0.9)+(0.6*0.2*2+1*0.15)*(16.3+4.8)+13.8*0.8*0.05</t>
  </si>
  <si>
    <t>挡土墙现浇砼</t>
  </si>
  <si>
    <t>（0.25+0.45）/2*0.8*6.9+（0.6+0.95）/2*1.42*（47.8-0.6）</t>
  </si>
  <si>
    <t>挡土墙模板制安</t>
  </si>
  <si>
    <t>0.8*6.9+1.42*47.8</t>
  </si>
  <si>
    <t>梯步现浇砼</t>
  </si>
  <si>
    <t>0.3*0.2/2*1*22+sqrt(6.6^2+4.4^2)*1*0.1</t>
  </si>
  <si>
    <t>梯步模板制安</t>
  </si>
  <si>
    <t>0.2*1*22</t>
  </si>
  <si>
    <t>增补</t>
  </si>
  <si>
    <t>镀锌钢管河道砼埋设</t>
  </si>
  <si>
    <t>钢筋锚杆</t>
  </si>
  <si>
    <t>t</t>
  </si>
  <si>
    <t>0.85*30*16*16*0.00617/1000</t>
  </si>
  <si>
    <t>C25砼</t>
  </si>
  <si>
    <t>0.2*0.5*76</t>
  </si>
  <si>
    <t>0.2*76</t>
  </si>
  <si>
    <t>锚杆钻孔（孔深20cm）</t>
  </si>
  <si>
    <t>个</t>
  </si>
  <si>
    <t>30*2</t>
  </si>
  <si>
    <t>第二部分 机电设备安装工程</t>
  </si>
  <si>
    <t>新增设备安装工程</t>
  </si>
  <si>
    <t>滑坡DN125mm镀锌管维修</t>
  </si>
  <si>
    <t>m</t>
  </si>
  <si>
    <t>水毁DN100mm镀锌管维修</t>
  </si>
  <si>
    <t>DN65mm镀锌管购买</t>
  </si>
  <si>
    <t>DN65mm加压阀、水表、表前阀、闸阀</t>
  </si>
  <si>
    <t>现场实为DN50</t>
  </si>
  <si>
    <t>DN150mm高压闸阀</t>
  </si>
  <si>
    <t>只</t>
  </si>
  <si>
    <t>DN125mm高压闸阀</t>
  </si>
  <si>
    <t>DN100mm高压闸阀</t>
  </si>
  <si>
    <t>管网安装工程</t>
  </si>
  <si>
    <t>DN150热镀锌钢管安装（供水主管）</t>
  </si>
  <si>
    <t>DN125热镀锌钢管安装（供水主管）</t>
  </si>
  <si>
    <t>DN100热镀锌钢管安装（供水主管）</t>
  </si>
  <si>
    <t>dn63mmPE管安装（供水主管）</t>
  </si>
  <si>
    <t>1500+3000</t>
  </si>
  <si>
    <t>dn50mmPE管安装（供水主管）</t>
  </si>
  <si>
    <t>1000+200</t>
  </si>
  <si>
    <t>dn40mmPE管安装（供水主管）</t>
  </si>
  <si>
    <t>dn32mmPE管安装（供水主管）</t>
  </si>
  <si>
    <t>2600+1200</t>
  </si>
  <si>
    <t>dn25mmPE管安装（供水主管）</t>
  </si>
  <si>
    <t>4000+2000</t>
  </si>
  <si>
    <t>dn20mmPE管安装（下户管）</t>
  </si>
  <si>
    <t>7000+6000</t>
  </si>
  <si>
    <t>政府采购PE管</t>
  </si>
  <si>
    <t>（5500+2500）</t>
  </si>
  <si>
    <t>（1500+3000）</t>
  </si>
  <si>
    <t>（1000+200）</t>
  </si>
  <si>
    <t>（2600+1200）</t>
  </si>
  <si>
    <t>（4000+2000）</t>
  </si>
  <si>
    <t>（7000+6000）</t>
  </si>
  <si>
    <t>各类管件</t>
  </si>
  <si>
    <t>（134270.68-（34950+15700+20320+17420+16680+24290）+70291.15-69900+19942.75-（3140+8040+8340））</t>
  </si>
  <si>
    <t>材料价格除税表</t>
  </si>
  <si>
    <t>工程名称：南江县和平镇孟山村饮水安全工程</t>
  </si>
  <si>
    <t>材料名称</t>
  </si>
  <si>
    <t>预算单价    （不含税）</t>
  </si>
  <si>
    <t>除税系数</t>
  </si>
  <si>
    <t>含税单价（元）</t>
  </si>
  <si>
    <t>电</t>
  </si>
  <si>
    <t>kw.h</t>
  </si>
  <si>
    <t>水</t>
  </si>
  <si>
    <t>风</t>
  </si>
  <si>
    <t>柴油</t>
  </si>
  <si>
    <t>汽油</t>
  </si>
  <si>
    <t>钢筋</t>
  </si>
  <si>
    <t>炸药</t>
  </si>
  <si>
    <t>水泥</t>
  </si>
  <si>
    <t>卵石</t>
  </si>
  <si>
    <t>40mm</t>
  </si>
  <si>
    <t>粗砂</t>
  </si>
  <si>
    <t>锯材</t>
  </si>
  <si>
    <t>砖</t>
  </si>
  <si>
    <t>千块</t>
  </si>
  <si>
    <t>电焊条</t>
  </si>
  <si>
    <t>铁钉</t>
  </si>
  <si>
    <t>铁件</t>
  </si>
  <si>
    <t>铁件及预埋铁件</t>
  </si>
  <si>
    <t>铁丝</t>
  </si>
  <si>
    <t>导火线</t>
  </si>
  <si>
    <t>预制混凝土柱</t>
  </si>
  <si>
    <t>合金钻头</t>
  </si>
  <si>
    <t>雷管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</si>
</sst>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);[Red]\(0.000\)"/>
    <numFmt numFmtId="178" formatCode="0.00_);[Red]\(0.00\)"/>
    <numFmt numFmtId="179" formatCode="0.000_ "/>
    <numFmt numFmtId="180" formatCode="0_ "/>
    <numFmt numFmtId="181" formatCode="0.00_ ;[Red]\-0.00\ "/>
    <numFmt numFmtId="182" formatCode="0.000_ ;[Red]\-0.000\ "/>
    <numFmt numFmtId="183" formatCode="0.00000_ "/>
    <numFmt numFmtId="184" formatCode="0_);[Red]\(0\)"/>
    <numFmt numFmtId="185" formatCode="[DBNum2][$RMB]General;[Red][DBNum2][$RMB]General"/>
  </numFmts>
  <fonts count="7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name val="宋体"/>
      <charset val="134"/>
    </font>
    <font>
      <b/>
      <sz val="9"/>
      <color rgb="FF000000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b/>
      <sz val="14"/>
      <color rgb="FF000000"/>
      <name val="宋体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charset val="134"/>
    </font>
    <font>
      <b/>
      <sz val="9"/>
      <color theme="1"/>
      <name val="宋体"/>
      <charset val="134"/>
    </font>
    <font>
      <b/>
      <sz val="7.5"/>
      <color theme="1"/>
      <name val="宋体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9"/>
      <name val="宋体"/>
      <charset val="134"/>
    </font>
    <font>
      <sz val="7.5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b/>
      <sz val="8"/>
      <name val="宋体"/>
      <charset val="134"/>
    </font>
    <font>
      <sz val="7.5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20"/>
      <color theme="1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8"/>
      <color indexed="8"/>
      <name val="宋体"/>
      <charset val="134"/>
    </font>
    <font>
      <sz val="8.5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22"/>
      <color indexed="0"/>
      <name val="宋体"/>
      <charset val="134"/>
    </font>
    <font>
      <b/>
      <sz val="16"/>
      <color indexed="0"/>
      <name val="宋体"/>
      <charset val="134"/>
    </font>
    <font>
      <b/>
      <sz val="20"/>
      <color indexed="0"/>
      <name val="宋体"/>
      <charset val="134"/>
    </font>
    <font>
      <sz val="12"/>
      <color rgb="FF000000"/>
      <name val="仿宋_GB2312"/>
      <charset val="134"/>
    </font>
    <font>
      <sz val="12"/>
      <color indexed="0"/>
      <name val="仿宋_GB2312"/>
      <charset val="134"/>
    </font>
    <font>
      <sz val="12"/>
      <name val="仿宋_GB2312"/>
      <charset val="134"/>
    </font>
    <font>
      <sz val="12"/>
      <color indexed="0"/>
      <name val="宋体"/>
      <charset val="134"/>
    </font>
    <font>
      <sz val="11"/>
      <color indexed="0"/>
      <name val="宋体"/>
      <charset val="134"/>
    </font>
    <font>
      <sz val="12"/>
      <color rgb="FFFF0000"/>
      <name val="仿宋_GB2312"/>
      <charset val="134"/>
    </font>
    <font>
      <b/>
      <sz val="14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6" borderId="13" applyNumberFormat="0" applyAlignment="0" applyProtection="0">
      <alignment vertical="center"/>
    </xf>
    <xf numFmtId="0" fontId="65" fillId="7" borderId="14" applyNumberFormat="0" applyAlignment="0" applyProtection="0">
      <alignment vertical="center"/>
    </xf>
    <xf numFmtId="0" fontId="66" fillId="7" borderId="13" applyNumberFormat="0" applyAlignment="0" applyProtection="0">
      <alignment vertical="center"/>
    </xf>
    <xf numFmtId="0" fontId="67" fillId="8" borderId="15" applyNumberFormat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9" fillId="0" borderId="17" applyNumberFormat="0" applyFill="0" applyAlignment="0" applyProtection="0">
      <alignment vertical="center"/>
    </xf>
    <xf numFmtId="0" fontId="70" fillId="9" borderId="0" applyNumberFormat="0" applyBorder="0" applyAlignment="0" applyProtection="0">
      <alignment vertical="center"/>
    </xf>
    <xf numFmtId="0" fontId="71" fillId="10" borderId="0" applyNumberFormat="0" applyBorder="0" applyAlignment="0" applyProtection="0">
      <alignment vertical="center"/>
    </xf>
    <xf numFmtId="0" fontId="72" fillId="1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74" fillId="13" borderId="0" applyNumberFormat="0" applyBorder="0" applyAlignment="0" applyProtection="0">
      <alignment vertical="center"/>
    </xf>
    <xf numFmtId="0" fontId="74" fillId="14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73" fillId="16" borderId="0" applyNumberFormat="0" applyBorder="0" applyAlignment="0" applyProtection="0">
      <alignment vertical="center"/>
    </xf>
    <xf numFmtId="0" fontId="74" fillId="17" borderId="0" applyNumberFormat="0" applyBorder="0" applyAlignment="0" applyProtection="0">
      <alignment vertical="center"/>
    </xf>
    <xf numFmtId="0" fontId="74" fillId="18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74" fillId="21" borderId="0" applyNumberFormat="0" applyBorder="0" applyAlignment="0" applyProtection="0">
      <alignment vertical="center"/>
    </xf>
    <xf numFmtId="0" fontId="74" fillId="22" borderId="0" applyNumberFormat="0" applyBorder="0" applyAlignment="0" applyProtection="0">
      <alignment vertical="center"/>
    </xf>
    <xf numFmtId="0" fontId="73" fillId="23" borderId="0" applyNumberFormat="0" applyBorder="0" applyAlignment="0" applyProtection="0">
      <alignment vertical="center"/>
    </xf>
    <xf numFmtId="0" fontId="73" fillId="24" borderId="0" applyNumberFormat="0" applyBorder="0" applyAlignment="0" applyProtection="0">
      <alignment vertical="center"/>
    </xf>
    <xf numFmtId="0" fontId="74" fillId="25" borderId="0" applyNumberFormat="0" applyBorder="0" applyAlignment="0" applyProtection="0">
      <alignment vertical="center"/>
    </xf>
    <xf numFmtId="0" fontId="74" fillId="26" borderId="0" applyNumberFormat="0" applyBorder="0" applyAlignment="0" applyProtection="0">
      <alignment vertical="center"/>
    </xf>
    <xf numFmtId="0" fontId="73" fillId="27" borderId="0" applyNumberFormat="0" applyBorder="0" applyAlignment="0" applyProtection="0">
      <alignment vertical="center"/>
    </xf>
    <xf numFmtId="0" fontId="73" fillId="28" borderId="0" applyNumberFormat="0" applyBorder="0" applyAlignment="0" applyProtection="0">
      <alignment vertical="center"/>
    </xf>
    <xf numFmtId="0" fontId="74" fillId="29" borderId="0" applyNumberFormat="0" applyBorder="0" applyAlignment="0" applyProtection="0">
      <alignment vertical="center"/>
    </xf>
    <xf numFmtId="0" fontId="74" fillId="30" borderId="0" applyNumberFormat="0" applyBorder="0" applyAlignment="0" applyProtection="0">
      <alignment vertical="center"/>
    </xf>
    <xf numFmtId="0" fontId="73" fillId="31" borderId="0" applyNumberFormat="0" applyBorder="0" applyAlignment="0" applyProtection="0">
      <alignment vertical="center"/>
    </xf>
    <xf numFmtId="0" fontId="73" fillId="32" borderId="0" applyNumberFormat="0" applyBorder="0" applyAlignment="0" applyProtection="0">
      <alignment vertical="center"/>
    </xf>
    <xf numFmtId="0" fontId="74" fillId="33" borderId="0" applyNumberFormat="0" applyBorder="0" applyAlignment="0" applyProtection="0">
      <alignment vertical="center"/>
    </xf>
    <xf numFmtId="0" fontId="74" fillId="34" borderId="0" applyNumberFormat="0" applyBorder="0" applyAlignment="0" applyProtection="0">
      <alignment vertical="center"/>
    </xf>
    <xf numFmtId="0" fontId="73" fillId="35" borderId="0" applyNumberFormat="0" applyBorder="0" applyAlignment="0" applyProtection="0">
      <alignment vertical="center"/>
    </xf>
    <xf numFmtId="0" fontId="75" fillId="0" borderId="0"/>
    <xf numFmtId="0" fontId="75" fillId="0" borderId="0">
      <alignment vertical="center"/>
    </xf>
    <xf numFmtId="0" fontId="76" fillId="0" borderId="0"/>
    <xf numFmtId="0" fontId="75" fillId="0" borderId="0"/>
    <xf numFmtId="0" fontId="23" fillId="0" borderId="0"/>
  </cellStyleXfs>
  <cellXfs count="33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10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0" fillId="0" borderId="0" xfId="0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 wrapText="1"/>
    </xf>
    <xf numFmtId="177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76" fontId="15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6" fontId="15" fillId="3" borderId="1" xfId="0" applyNumberFormat="1" applyFont="1" applyFill="1" applyBorder="1" applyAlignment="1">
      <alignment horizontal="left" vertical="center" wrapText="1"/>
    </xf>
    <xf numFmtId="176" fontId="14" fillId="3" borderId="1" xfId="0" applyNumberFormat="1" applyFont="1" applyFill="1" applyBorder="1" applyAlignment="1">
      <alignment horizontal="right" vertical="center"/>
    </xf>
    <xf numFmtId="177" fontId="18" fillId="3" borderId="1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76" fontId="19" fillId="0" borderId="1" xfId="0" applyNumberFormat="1" applyFont="1" applyFill="1" applyBorder="1" applyAlignment="1">
      <alignment horizontal="left" vertical="center" wrapText="1"/>
    </xf>
    <xf numFmtId="176" fontId="20" fillId="0" borderId="1" xfId="0" applyNumberFormat="1" applyFont="1" applyFill="1" applyBorder="1" applyAlignment="1">
      <alignment vertical="center"/>
    </xf>
    <xf numFmtId="178" fontId="20" fillId="0" borderId="1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177" fontId="20" fillId="0" borderId="1" xfId="0" applyNumberFormat="1" applyFont="1" applyFill="1" applyBorder="1" applyAlignment="1">
      <alignment vertical="center" wrapText="1"/>
    </xf>
    <xf numFmtId="177" fontId="19" fillId="0" borderId="1" xfId="0" applyNumberFormat="1" applyFont="1" applyFill="1" applyBorder="1" applyAlignment="1">
      <alignment vertical="center" wrapText="1"/>
    </xf>
    <xf numFmtId="177" fontId="14" fillId="0" borderId="1" xfId="0" applyNumberFormat="1" applyFont="1" applyFill="1" applyBorder="1" applyAlignment="1">
      <alignment vertical="center" wrapText="1"/>
    </xf>
    <xf numFmtId="176" fontId="19" fillId="3" borderId="1" xfId="0" applyNumberFormat="1" applyFont="1" applyFill="1" applyBorder="1" applyAlignment="1">
      <alignment horizontal="left" vertical="center" wrapText="1"/>
    </xf>
    <xf numFmtId="176" fontId="20" fillId="3" borderId="1" xfId="0" applyNumberFormat="1" applyFont="1" applyFill="1" applyBorder="1" applyAlignment="1">
      <alignment vertical="center"/>
    </xf>
    <xf numFmtId="177" fontId="20" fillId="3" borderId="1" xfId="0" applyNumberFormat="1" applyFont="1" applyFill="1" applyBorder="1" applyAlignment="1">
      <alignment vertical="center" wrapText="1"/>
    </xf>
    <xf numFmtId="177" fontId="20" fillId="0" borderId="3" xfId="0" applyNumberFormat="1" applyFont="1" applyFill="1" applyBorder="1" applyAlignment="1">
      <alignment horizontal="center" vertical="center" wrapText="1"/>
    </xf>
    <xf numFmtId="177" fontId="20" fillId="0" borderId="4" xfId="0" applyNumberFormat="1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176" fontId="19" fillId="3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 wrapText="1"/>
    </xf>
    <xf numFmtId="177" fontId="21" fillId="0" borderId="1" xfId="0" applyNumberFormat="1" applyFont="1" applyFill="1" applyBorder="1" applyAlignment="1">
      <alignment vertical="center" wrapText="1"/>
    </xf>
    <xf numFmtId="176" fontId="21" fillId="0" borderId="1" xfId="0" applyNumberFormat="1" applyFont="1" applyFill="1" applyBorder="1" applyAlignment="1">
      <alignment vertical="center"/>
    </xf>
    <xf numFmtId="0" fontId="16" fillId="0" borderId="5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76" fontId="21" fillId="0" borderId="1" xfId="0" applyNumberFormat="1" applyFont="1" applyFill="1" applyBorder="1" applyAlignment="1">
      <alignment horizontal="left" vertical="center" wrapText="1"/>
    </xf>
    <xf numFmtId="176" fontId="7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179" fontId="7" fillId="0" borderId="0" xfId="0" applyNumberFormat="1" applyFont="1" applyFill="1">
      <alignment vertical="center"/>
    </xf>
    <xf numFmtId="0" fontId="17" fillId="2" borderId="2" xfId="0" applyFont="1" applyFill="1" applyBorder="1" applyAlignment="1" applyProtection="1">
      <alignment horizontal="center" vertical="center" wrapText="1"/>
    </xf>
    <xf numFmtId="176" fontId="19" fillId="2" borderId="1" xfId="0" applyNumberFormat="1" applyFont="1" applyFill="1" applyBorder="1" applyAlignment="1">
      <alignment horizontal="left" vertical="center" wrapText="1"/>
    </xf>
    <xf numFmtId="176" fontId="20" fillId="2" borderId="1" xfId="0" applyNumberFormat="1" applyFont="1" applyFill="1" applyBorder="1" applyAlignment="1">
      <alignment vertical="center"/>
    </xf>
    <xf numFmtId="177" fontId="20" fillId="2" borderId="1" xfId="0" applyNumberFormat="1" applyFont="1" applyFill="1" applyBorder="1" applyAlignment="1">
      <alignment vertical="center" wrapText="1"/>
    </xf>
    <xf numFmtId="177" fontId="18" fillId="0" borderId="1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177" fontId="20" fillId="0" borderId="6" xfId="0" applyNumberFormat="1" applyFont="1" applyFill="1" applyBorder="1" applyAlignment="1">
      <alignment horizontal="center" vertical="center" wrapText="1"/>
    </xf>
    <xf numFmtId="180" fontId="16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/>
    <xf numFmtId="0" fontId="16" fillId="0" borderId="0" xfId="0" applyFont="1" applyFill="1" applyBorder="1" applyAlignment="1"/>
    <xf numFmtId="0" fontId="16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/>
    </xf>
    <xf numFmtId="0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 vertical="center"/>
    </xf>
    <xf numFmtId="181" fontId="20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 wrapText="1"/>
    </xf>
    <xf numFmtId="176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26" fillId="0" borderId="0" xfId="0" applyNumberFormat="1" applyFont="1" applyFill="1" applyBorder="1" applyAlignment="1">
      <alignment horizontal="right" vertical="center" wrapText="1"/>
    </xf>
    <xf numFmtId="176" fontId="26" fillId="0" borderId="0" xfId="0" applyNumberFormat="1" applyFont="1" applyFill="1" applyBorder="1" applyAlignment="1">
      <alignment horizontal="right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176" fontId="27" fillId="0" borderId="1" xfId="0" applyNumberFormat="1" applyFont="1" applyFill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horizontal="center" vertical="center" wrapText="1"/>
    </xf>
    <xf numFmtId="176" fontId="27" fillId="2" borderId="1" xfId="0" applyNumberFormat="1" applyFont="1" applyFill="1" applyBorder="1" applyAlignment="1">
      <alignment horizontal="center" vertical="center" wrapText="1"/>
    </xf>
    <xf numFmtId="181" fontId="28" fillId="2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176" fontId="17" fillId="3" borderId="1" xfId="0" applyNumberFormat="1" applyFont="1" applyFill="1" applyBorder="1" applyAlignment="1" applyProtection="1">
      <alignment horizontal="right" vertical="center" wrapText="1"/>
    </xf>
    <xf numFmtId="0" fontId="17" fillId="3" borderId="1" xfId="0" applyNumberFormat="1" applyFont="1" applyFill="1" applyBorder="1" applyAlignment="1">
      <alignment horizontal="right" vertical="center" wrapText="1"/>
    </xf>
    <xf numFmtId="176" fontId="18" fillId="3" borderId="1" xfId="0" applyNumberFormat="1" applyFont="1" applyFill="1" applyBorder="1" applyAlignment="1">
      <alignment horizontal="right" vertical="center" wrapText="1"/>
    </xf>
    <xf numFmtId="181" fontId="18" fillId="3" borderId="1" xfId="0" applyNumberFormat="1" applyFont="1" applyFill="1" applyBorder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right" vertical="center" wrapText="1"/>
    </xf>
    <xf numFmtId="181" fontId="18" fillId="0" borderId="1" xfId="0" applyNumberFormat="1" applyFont="1" applyFill="1" applyBorder="1" applyAlignment="1">
      <alignment horizontal="right" vertical="center" wrapText="1"/>
    </xf>
    <xf numFmtId="182" fontId="18" fillId="0" borderId="1" xfId="0" applyNumberFormat="1" applyFont="1" applyFill="1" applyBorder="1" applyAlignment="1">
      <alignment horizontal="right" vertical="center" wrapText="1"/>
    </xf>
    <xf numFmtId="176" fontId="17" fillId="3" borderId="1" xfId="0" applyNumberFormat="1" applyFont="1" applyFill="1" applyBorder="1" applyAlignment="1" applyProtection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right" vertical="center" wrapText="1"/>
    </xf>
    <xf numFmtId="177" fontId="25" fillId="0" borderId="0" xfId="0" applyNumberFormat="1" applyFont="1" applyFill="1" applyBorder="1" applyAlignment="1">
      <alignment horizontal="center" vertical="center" wrapText="1"/>
    </xf>
    <xf numFmtId="176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/>
    <xf numFmtId="177" fontId="17" fillId="0" borderId="1" xfId="0" applyNumberFormat="1" applyFont="1" applyFill="1" applyBorder="1" applyAlignment="1">
      <alignment horizontal="center" vertical="center" wrapText="1"/>
    </xf>
    <xf numFmtId="177" fontId="17" fillId="2" borderId="1" xfId="0" applyNumberFormat="1" applyFont="1" applyFill="1" applyBorder="1" applyAlignment="1">
      <alignment horizontal="center" vertical="center" wrapText="1"/>
    </xf>
    <xf numFmtId="176" fontId="16" fillId="0" borderId="0" xfId="0" applyNumberFormat="1" applyFont="1" applyFill="1" applyAlignment="1">
      <alignment horizontal="center" vertical="center"/>
    </xf>
    <xf numFmtId="176" fontId="16" fillId="0" borderId="0" xfId="0" applyNumberFormat="1" applyFont="1" applyFill="1" applyAlignment="1"/>
    <xf numFmtId="177" fontId="16" fillId="3" borderId="1" xfId="0" applyNumberFormat="1" applyFont="1" applyFill="1" applyBorder="1" applyAlignment="1">
      <alignment horizontal="center" vertical="center" wrapText="1"/>
    </xf>
    <xf numFmtId="176" fontId="17" fillId="0" borderId="0" xfId="0" applyNumberFormat="1" applyFont="1" applyFill="1" applyAlignment="1"/>
    <xf numFmtId="177" fontId="16" fillId="0" borderId="1" xfId="0" applyNumberFormat="1" applyFont="1" applyFill="1" applyBorder="1" applyAlignment="1">
      <alignment horizontal="right" wrapText="1"/>
    </xf>
    <xf numFmtId="176" fontId="16" fillId="4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right" vertical="center" wrapText="1"/>
    </xf>
    <xf numFmtId="176" fontId="17" fillId="0" borderId="0" xfId="0" applyNumberFormat="1" applyFont="1" applyFill="1" applyBorder="1" applyAlignment="1">
      <alignment horizontal="center"/>
    </xf>
    <xf numFmtId="176" fontId="16" fillId="0" borderId="0" xfId="0" applyNumberFormat="1" applyFont="1" applyFill="1" applyBorder="1" applyAlignment="1">
      <alignment horizontal="center"/>
    </xf>
    <xf numFmtId="177" fontId="16" fillId="0" borderId="1" xfId="0" applyNumberFormat="1" applyFont="1" applyFill="1" applyBorder="1" applyAlignment="1">
      <alignment horizontal="center" vertical="center" wrapText="1"/>
    </xf>
    <xf numFmtId="177" fontId="16" fillId="0" borderId="4" xfId="0" applyNumberFormat="1" applyFont="1" applyFill="1" applyBorder="1" applyAlignment="1">
      <alignment vertical="center" wrapText="1"/>
    </xf>
    <xf numFmtId="176" fontId="31" fillId="4" borderId="0" xfId="0" applyNumberFormat="1" applyFont="1" applyFill="1" applyAlignment="1">
      <alignment horizontal="center" vertical="center"/>
    </xf>
    <xf numFmtId="177" fontId="17" fillId="0" borderId="1" xfId="0" applyNumberFormat="1" applyFont="1" applyFill="1" applyBorder="1" applyAlignment="1">
      <alignment horizontal="right" wrapText="1"/>
    </xf>
    <xf numFmtId="177" fontId="32" fillId="0" borderId="1" xfId="0" applyNumberFormat="1" applyFont="1" applyFill="1" applyBorder="1" applyAlignment="1">
      <alignment horizontal="right" vertical="center" wrapText="1"/>
    </xf>
    <xf numFmtId="177" fontId="30" fillId="0" borderId="1" xfId="0" applyNumberFormat="1" applyFont="1" applyFill="1" applyBorder="1" applyAlignment="1">
      <alignment horizontal="right" vertical="center" wrapText="1"/>
    </xf>
    <xf numFmtId="176" fontId="23" fillId="4" borderId="0" xfId="0" applyNumberFormat="1" applyFont="1" applyFill="1" applyBorder="1" applyAlignment="1">
      <alignment horizontal="center" vertical="center"/>
    </xf>
    <xf numFmtId="176" fontId="23" fillId="0" borderId="0" xfId="0" applyNumberFormat="1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176" fontId="27" fillId="2" borderId="1" xfId="0" applyNumberFormat="1" applyFont="1" applyFill="1" applyBorder="1" applyAlignment="1">
      <alignment horizontal="right" vertical="center" wrapText="1"/>
    </xf>
    <xf numFmtId="181" fontId="27" fillId="2" borderId="1" xfId="0" applyNumberFormat="1" applyFont="1" applyFill="1" applyBorder="1" applyAlignment="1">
      <alignment horizontal="right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76" fontId="27" fillId="3" borderId="1" xfId="0" applyNumberFormat="1" applyFont="1" applyFill="1" applyBorder="1" applyAlignment="1">
      <alignment horizontal="right" vertical="center" wrapText="1"/>
    </xf>
    <xf numFmtId="181" fontId="27" fillId="3" borderId="1" xfId="0" applyNumberFormat="1" applyFont="1" applyFill="1" applyBorder="1" applyAlignment="1">
      <alignment horizontal="right" vertical="center" wrapText="1"/>
    </xf>
    <xf numFmtId="177" fontId="29" fillId="2" borderId="1" xfId="0" applyNumberFormat="1" applyFont="1" applyFill="1" applyBorder="1" applyAlignment="1">
      <alignment horizontal="right" vertical="center" wrapText="1"/>
    </xf>
    <xf numFmtId="177" fontId="29" fillId="3" borderId="1" xfId="0" applyNumberFormat="1" applyFont="1" applyFill="1" applyBorder="1" applyAlignment="1">
      <alignment horizontal="right" vertical="center" wrapText="1"/>
    </xf>
    <xf numFmtId="177" fontId="30" fillId="0" borderId="3" xfId="0" applyNumberFormat="1" applyFont="1" applyFill="1" applyBorder="1" applyAlignment="1">
      <alignment horizontal="center" vertical="center" wrapText="1"/>
    </xf>
    <xf numFmtId="177" fontId="30" fillId="0" borderId="6" xfId="0" applyNumberFormat="1" applyFont="1" applyFill="1" applyBorder="1" applyAlignment="1">
      <alignment horizontal="center" vertical="center" wrapText="1"/>
    </xf>
    <xf numFmtId="177" fontId="30" fillId="0" borderId="4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0" fontId="3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right"/>
    </xf>
    <xf numFmtId="176" fontId="34" fillId="0" borderId="0" xfId="0" applyNumberFormat="1" applyFont="1" applyFill="1" applyBorder="1" applyAlignment="1">
      <alignment horizontal="right"/>
    </xf>
    <xf numFmtId="176" fontId="14" fillId="0" borderId="0" xfId="0" applyNumberFormat="1" applyFont="1" applyFill="1" applyBorder="1" applyAlignment="1">
      <alignment horizontal="right" vertical="center"/>
    </xf>
    <xf numFmtId="176" fontId="35" fillId="0" borderId="0" xfId="0" applyNumberFormat="1" applyFont="1" applyFill="1" applyBorder="1" applyAlignment="1">
      <alignment horizontal="right"/>
    </xf>
    <xf numFmtId="177" fontId="3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center" vertical="center" wrapText="1"/>
    </xf>
    <xf numFmtId="176" fontId="38" fillId="0" borderId="0" xfId="0" applyNumberFormat="1" applyFont="1" applyFill="1" applyBorder="1" applyAlignment="1">
      <alignment horizontal="right" vertical="center" wrapText="1"/>
    </xf>
    <xf numFmtId="0" fontId="39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76" fontId="17" fillId="2" borderId="1" xfId="0" applyNumberFormat="1" applyFont="1" applyFill="1" applyBorder="1" applyAlignment="1" applyProtection="1">
      <alignment horizontal="righ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76" fontId="16" fillId="0" borderId="1" xfId="0" applyNumberFormat="1" applyFont="1" applyFill="1" applyBorder="1" applyAlignment="1" applyProtection="1">
      <alignment horizontal="right" vertical="center" wrapText="1"/>
    </xf>
    <xf numFmtId="176" fontId="40" fillId="0" borderId="0" xfId="0" applyNumberFormat="1" applyFont="1" applyFill="1" applyBorder="1" applyAlignment="1">
      <alignment horizontal="right" vertical="center" wrapText="1"/>
    </xf>
    <xf numFmtId="176" fontId="16" fillId="2" borderId="1" xfId="0" applyNumberFormat="1" applyFont="1" applyFill="1" applyBorder="1" applyAlignment="1" applyProtection="1">
      <alignment horizontal="right" vertical="center" wrapText="1"/>
    </xf>
    <xf numFmtId="176" fontId="16" fillId="2" borderId="1" xfId="0" applyNumberFormat="1" applyFont="1" applyFill="1" applyBorder="1" applyAlignment="1">
      <alignment horizontal="right" vertical="center" wrapText="1"/>
    </xf>
    <xf numFmtId="176" fontId="17" fillId="2" borderId="1" xfId="0" applyNumberFormat="1" applyFont="1" applyFill="1" applyBorder="1" applyAlignment="1">
      <alignment horizontal="right" vertical="center" wrapText="1"/>
    </xf>
    <xf numFmtId="176" fontId="41" fillId="2" borderId="1" xfId="0" applyNumberFormat="1" applyFont="1" applyFill="1" applyBorder="1" applyAlignment="1">
      <alignment horizontal="right" vertical="center"/>
    </xf>
    <xf numFmtId="176" fontId="16" fillId="3" borderId="1" xfId="0" applyNumberFormat="1" applyFont="1" applyFill="1" applyBorder="1" applyAlignment="1" applyProtection="1">
      <alignment horizontal="right" vertical="center" wrapText="1"/>
    </xf>
    <xf numFmtId="176" fontId="16" fillId="3" borderId="1" xfId="0" applyNumberFormat="1" applyFont="1" applyFill="1" applyBorder="1" applyAlignment="1">
      <alignment horizontal="right" vertical="center" wrapText="1"/>
    </xf>
    <xf numFmtId="176" fontId="17" fillId="3" borderId="1" xfId="0" applyNumberFormat="1" applyFont="1" applyFill="1" applyBorder="1" applyAlignment="1">
      <alignment horizontal="right" vertical="center" wrapText="1"/>
    </xf>
    <xf numFmtId="176" fontId="41" fillId="3" borderId="1" xfId="0" applyNumberFormat="1" applyFont="1" applyFill="1" applyBorder="1" applyAlignment="1">
      <alignment horizontal="right" vertical="center"/>
    </xf>
    <xf numFmtId="176" fontId="16" fillId="0" borderId="1" xfId="0" applyNumberFormat="1" applyFont="1" applyFill="1" applyBorder="1" applyAlignment="1">
      <alignment horizontal="right" vertical="center" wrapText="1"/>
    </xf>
    <xf numFmtId="176" fontId="31" fillId="0" borderId="1" xfId="0" applyNumberFormat="1" applyFont="1" applyFill="1" applyBorder="1" applyAlignment="1">
      <alignment horizontal="right" vertical="center"/>
    </xf>
    <xf numFmtId="176" fontId="31" fillId="0" borderId="1" xfId="0" applyNumberFormat="1" applyFont="1" applyFill="1" applyBorder="1" applyAlignment="1">
      <alignment horizontal="right" vertical="center" wrapText="1"/>
    </xf>
    <xf numFmtId="176" fontId="42" fillId="0" borderId="0" xfId="0" applyNumberFormat="1" applyFont="1" applyFill="1" applyBorder="1" applyAlignment="1">
      <alignment horizontal="right" vertical="center" wrapText="1"/>
    </xf>
    <xf numFmtId="177" fontId="42" fillId="0" borderId="0" xfId="0" applyNumberFormat="1" applyFont="1" applyFill="1" applyBorder="1" applyAlignment="1">
      <alignment horizontal="center" vertical="center" wrapText="1"/>
    </xf>
    <xf numFmtId="176" fontId="39" fillId="0" borderId="0" xfId="0" applyNumberFormat="1" applyFont="1" applyFill="1" applyAlignment="1">
      <alignment horizontal="right" vertical="center" wrapText="1"/>
    </xf>
    <xf numFmtId="0" fontId="15" fillId="0" borderId="0" xfId="0" applyFont="1" applyFill="1" applyAlignment="1">
      <alignment horizontal="left" vertical="center" wrapText="1"/>
    </xf>
    <xf numFmtId="177" fontId="41" fillId="0" borderId="1" xfId="0" applyNumberFormat="1" applyFont="1" applyFill="1" applyBorder="1" applyAlignment="1">
      <alignment horizontal="center" vertical="center" wrapText="1"/>
    </xf>
    <xf numFmtId="180" fontId="17" fillId="2" borderId="1" xfId="0" applyNumberFormat="1" applyFont="1" applyFill="1" applyBorder="1" applyAlignment="1" applyProtection="1">
      <alignment horizontal="right" vertical="center" wrapText="1"/>
    </xf>
    <xf numFmtId="177" fontId="41" fillId="2" borderId="1" xfId="0" applyNumberFormat="1" applyFont="1" applyFill="1" applyBorder="1" applyAlignment="1">
      <alignment horizontal="center" vertical="center" wrapText="1"/>
    </xf>
    <xf numFmtId="180" fontId="17" fillId="3" borderId="1" xfId="0" applyNumberFormat="1" applyFont="1" applyFill="1" applyBorder="1" applyAlignment="1" applyProtection="1">
      <alignment horizontal="right" vertical="center" wrapText="1"/>
    </xf>
    <xf numFmtId="177" fontId="41" fillId="3" borderId="1" xfId="0" applyNumberFormat="1" applyFont="1" applyFill="1" applyBorder="1" applyAlignment="1">
      <alignment horizontal="center" vertical="center" wrapText="1"/>
    </xf>
    <xf numFmtId="180" fontId="16" fillId="0" borderId="1" xfId="0" applyNumberFormat="1" applyFont="1" applyFill="1" applyBorder="1" applyAlignment="1" applyProtection="1">
      <alignment horizontal="right" vertical="center" wrapText="1"/>
    </xf>
    <xf numFmtId="177" fontId="31" fillId="0" borderId="1" xfId="0" applyNumberFormat="1" applyFont="1" applyFill="1" applyBorder="1" applyAlignment="1">
      <alignment horizontal="center" vertical="center" wrapText="1"/>
    </xf>
    <xf numFmtId="176" fontId="17" fillId="2" borderId="5" xfId="0" applyNumberFormat="1" applyFont="1" applyFill="1" applyBorder="1" applyAlignment="1" applyProtection="1">
      <alignment horizontal="right" vertical="center" wrapText="1"/>
    </xf>
    <xf numFmtId="176" fontId="17" fillId="2" borderId="7" xfId="0" applyNumberFormat="1" applyFont="1" applyFill="1" applyBorder="1" applyAlignment="1" applyProtection="1">
      <alignment horizontal="right" vertical="center" wrapText="1"/>
    </xf>
    <xf numFmtId="176" fontId="16" fillId="2" borderId="8" xfId="0" applyNumberFormat="1" applyFont="1" applyFill="1" applyBorder="1" applyAlignment="1" applyProtection="1">
      <alignment horizontal="right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2" fontId="34" fillId="0" borderId="5" xfId="0" applyNumberFormat="1" applyFont="1" applyFill="1" applyBorder="1" applyAlignment="1" applyProtection="1">
      <alignment horizontal="right" vertical="center" wrapText="1"/>
    </xf>
    <xf numFmtId="2" fontId="34" fillId="0" borderId="7" xfId="0" applyNumberFormat="1" applyFont="1" applyFill="1" applyBorder="1" applyAlignment="1" applyProtection="1">
      <alignment horizontal="right" vertical="center" wrapText="1"/>
    </xf>
    <xf numFmtId="2" fontId="34" fillId="0" borderId="8" xfId="0" applyNumberFormat="1" applyFont="1" applyFill="1" applyBorder="1" applyAlignment="1" applyProtection="1">
      <alignment vertical="center" wrapText="1"/>
    </xf>
    <xf numFmtId="0" fontId="17" fillId="0" borderId="1" xfId="0" applyFont="1" applyFill="1" applyBorder="1" applyAlignment="1">
      <alignment vertical="center" wrapText="1"/>
    </xf>
    <xf numFmtId="176" fontId="34" fillId="0" borderId="5" xfId="0" applyNumberFormat="1" applyFont="1" applyFill="1" applyBorder="1" applyAlignment="1" applyProtection="1">
      <alignment horizontal="right" vertical="center" wrapText="1"/>
    </xf>
    <xf numFmtId="176" fontId="34" fillId="0" borderId="7" xfId="0" applyNumberFormat="1" applyFont="1" applyFill="1" applyBorder="1" applyAlignment="1" applyProtection="1">
      <alignment horizontal="right" vertical="center" wrapText="1"/>
    </xf>
    <xf numFmtId="176" fontId="34" fillId="0" borderId="8" xfId="0" applyNumberFormat="1" applyFont="1" applyFill="1" applyBorder="1" applyAlignment="1" applyProtection="1">
      <alignment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176" fontId="17" fillId="0" borderId="0" xfId="0" applyNumberFormat="1" applyFont="1" applyFill="1" applyBorder="1" applyAlignment="1" applyProtection="1">
      <alignment horizontal="right" vertical="center" wrapText="1"/>
    </xf>
    <xf numFmtId="176" fontId="17" fillId="0" borderId="0" xfId="0" applyNumberFormat="1" applyFont="1" applyFill="1" applyBorder="1" applyAlignment="1">
      <alignment horizontal="right" vertical="center" wrapText="1"/>
    </xf>
    <xf numFmtId="183" fontId="17" fillId="0" borderId="0" xfId="0" applyNumberFormat="1" applyFont="1" applyFill="1" applyBorder="1" applyAlignment="1" applyProtection="1">
      <alignment horizontal="right" vertical="center" wrapText="1"/>
    </xf>
    <xf numFmtId="176" fontId="27" fillId="0" borderId="0" xfId="0" applyNumberFormat="1" applyFont="1" applyFill="1" applyBorder="1" applyAlignment="1">
      <alignment horizontal="right" vertical="center"/>
    </xf>
    <xf numFmtId="176" fontId="18" fillId="2" borderId="8" xfId="0" applyNumberFormat="1" applyFont="1" applyFill="1" applyBorder="1" applyAlignment="1" applyProtection="1">
      <alignment horizontal="right" vertical="center" wrapText="1"/>
    </xf>
    <xf numFmtId="176" fontId="41" fillId="2" borderId="1" xfId="0" applyNumberFormat="1" applyFont="1" applyFill="1" applyBorder="1" applyAlignment="1">
      <alignment horizontal="right" vertical="center" wrapText="1"/>
    </xf>
    <xf numFmtId="176" fontId="41" fillId="0" borderId="1" xfId="0" applyNumberFormat="1" applyFont="1" applyFill="1" applyBorder="1" applyAlignment="1">
      <alignment horizontal="right" vertical="center" wrapText="1"/>
    </xf>
    <xf numFmtId="176" fontId="41" fillId="0" borderId="1" xfId="0" applyNumberFormat="1" applyFont="1" applyFill="1" applyBorder="1" applyAlignment="1">
      <alignment horizontal="right" vertical="center"/>
    </xf>
    <xf numFmtId="177" fontId="31" fillId="0" borderId="3" xfId="0" applyNumberFormat="1" applyFont="1" applyFill="1" applyBorder="1" applyAlignment="1">
      <alignment horizontal="center" vertical="center" wrapText="1"/>
    </xf>
    <xf numFmtId="177" fontId="31" fillId="0" borderId="4" xfId="0" applyNumberFormat="1" applyFont="1" applyFill="1" applyBorder="1" applyAlignment="1">
      <alignment horizontal="center" vertical="center" wrapText="1"/>
    </xf>
    <xf numFmtId="176" fontId="27" fillId="0" borderId="0" xfId="0" applyNumberFormat="1" applyFont="1" applyFill="1" applyBorder="1" applyAlignment="1" applyProtection="1">
      <alignment horizontal="right" vertical="center" wrapText="1"/>
    </xf>
    <xf numFmtId="176" fontId="41" fillId="0" borderId="0" xfId="0" applyNumberFormat="1" applyFont="1" applyFill="1" applyBorder="1" applyAlignment="1">
      <alignment horizontal="right" vertical="center" wrapText="1"/>
    </xf>
    <xf numFmtId="176" fontId="4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176" fontId="0" fillId="0" borderId="0" xfId="0" applyNumberFormat="1" applyFill="1" applyAlignment="1">
      <alignment horizontal="right" vertical="center"/>
    </xf>
    <xf numFmtId="0" fontId="43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176" fontId="34" fillId="2" borderId="1" xfId="0" applyNumberFormat="1" applyFont="1" applyFill="1" applyBorder="1" applyAlignment="1">
      <alignment vertical="center" wrapText="1"/>
    </xf>
    <xf numFmtId="176" fontId="34" fillId="2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76" fontId="34" fillId="2" borderId="5" xfId="0" applyNumberFormat="1" applyFont="1" applyFill="1" applyBorder="1" applyAlignment="1">
      <alignment horizontal="right" vertical="center" wrapText="1"/>
    </xf>
    <xf numFmtId="176" fontId="34" fillId="2" borderId="8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76" fontId="34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76" fontId="34" fillId="0" borderId="5" xfId="0" applyNumberFormat="1" applyFont="1" applyFill="1" applyBorder="1" applyAlignment="1">
      <alignment horizontal="right" vertical="center" wrapText="1"/>
    </xf>
    <xf numFmtId="176" fontId="34" fillId="0" borderId="8" xfId="0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left" vertical="center" wrapText="1"/>
    </xf>
    <xf numFmtId="10" fontId="0" fillId="0" borderId="0" xfId="3" applyNumberFormat="1" applyFill="1" applyAlignment="1">
      <alignment horizontal="right" vertical="center"/>
    </xf>
    <xf numFmtId="176" fontId="43" fillId="0" borderId="0" xfId="0" applyNumberFormat="1" applyFont="1" applyFill="1" applyBorder="1" applyAlignment="1">
      <alignment horizontal="center" vertical="center" wrapText="1"/>
    </xf>
    <xf numFmtId="176" fontId="17" fillId="0" borderId="0" xfId="0" applyNumberFormat="1" applyFont="1" applyFill="1" applyBorder="1" applyAlignment="1">
      <alignment horizontal="left" vertical="center" wrapText="1"/>
    </xf>
    <xf numFmtId="176" fontId="17" fillId="0" borderId="1" xfId="0" applyNumberFormat="1" applyFont="1" applyFill="1" applyBorder="1" applyAlignment="1">
      <alignment vertical="center" wrapText="1"/>
    </xf>
    <xf numFmtId="184" fontId="15" fillId="2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vertical="center" wrapText="1"/>
    </xf>
    <xf numFmtId="184" fontId="15" fillId="0" borderId="1" xfId="0" applyNumberFormat="1" applyFont="1" applyFill="1" applyBorder="1" applyAlignment="1">
      <alignment horizontal="center" vertical="center" wrapText="1"/>
    </xf>
    <xf numFmtId="176" fontId="15" fillId="2" borderId="1" xfId="0" applyNumberFormat="1" applyFont="1" applyFill="1" applyBorder="1" applyAlignment="1">
      <alignment vertical="center" wrapText="1"/>
    </xf>
    <xf numFmtId="176" fontId="19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vertical="center" wrapText="1"/>
    </xf>
    <xf numFmtId="9" fontId="7" fillId="0" borderId="1" xfId="3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9" fontId="44" fillId="0" borderId="1" xfId="3" applyFont="1" applyFill="1" applyBorder="1" applyAlignment="1">
      <alignment horizontal="center" vertical="center" wrapText="1"/>
    </xf>
    <xf numFmtId="0" fontId="23" fillId="0" borderId="0" xfId="53" applyFill="1" applyBorder="1" applyAlignment="1"/>
    <xf numFmtId="0" fontId="45" fillId="0" borderId="0" xfId="53" applyFont="1" applyFill="1" applyBorder="1" applyAlignment="1"/>
    <xf numFmtId="0" fontId="46" fillId="0" borderId="0" xfId="53" applyFont="1" applyFill="1" applyBorder="1" applyAlignment="1">
      <alignment horizontal="center" vertical="center" wrapText="1"/>
    </xf>
    <xf numFmtId="0" fontId="47" fillId="0" borderId="9" xfId="53" applyFont="1" applyFill="1" applyBorder="1" applyAlignment="1">
      <alignment horizontal="center" vertical="center" wrapText="1"/>
    </xf>
    <xf numFmtId="0" fontId="48" fillId="0" borderId="0" xfId="53" applyFont="1" applyFill="1" applyBorder="1" applyAlignment="1">
      <alignment horizontal="center" wrapText="1"/>
    </xf>
    <xf numFmtId="0" fontId="49" fillId="0" borderId="0" xfId="53" applyFont="1" applyFill="1" applyBorder="1" applyAlignment="1">
      <alignment horizontal="left" wrapText="1"/>
    </xf>
    <xf numFmtId="0" fontId="50" fillId="0" borderId="0" xfId="53" applyFont="1" applyFill="1" applyBorder="1" applyAlignment="1">
      <alignment horizontal="left" wrapText="1"/>
    </xf>
    <xf numFmtId="176" fontId="50" fillId="0" borderId="9" xfId="53" applyNumberFormat="1" applyFont="1" applyFill="1" applyBorder="1" applyAlignment="1">
      <alignment horizontal="center" wrapText="1"/>
    </xf>
    <xf numFmtId="180" fontId="50" fillId="0" borderId="9" xfId="53" applyNumberFormat="1" applyFont="1" applyFill="1" applyBorder="1" applyAlignment="1">
      <alignment horizontal="left" wrapText="1"/>
    </xf>
    <xf numFmtId="176" fontId="51" fillId="0" borderId="9" xfId="53" applyNumberFormat="1" applyFont="1" applyFill="1" applyBorder="1" applyAlignment="1">
      <alignment horizontal="center" wrapText="1"/>
    </xf>
    <xf numFmtId="0" fontId="50" fillId="0" borderId="9" xfId="53" applyFont="1" applyFill="1" applyBorder="1" applyAlignment="1">
      <alignment horizontal="center" wrapText="1"/>
    </xf>
    <xf numFmtId="0" fontId="50" fillId="0" borderId="0" xfId="53" applyFont="1" applyFill="1" applyBorder="1" applyAlignment="1">
      <alignment horizontal="center" vertical="center" wrapText="1"/>
    </xf>
    <xf numFmtId="0" fontId="52" fillId="0" borderId="0" xfId="53" applyFont="1" applyFill="1" applyBorder="1" applyAlignment="1">
      <alignment horizontal="left" wrapText="1"/>
    </xf>
    <xf numFmtId="0" fontId="53" fillId="0" borderId="0" xfId="53" applyFont="1" applyFill="1" applyBorder="1" applyAlignment="1">
      <alignment horizontal="left" wrapText="1"/>
    </xf>
    <xf numFmtId="176" fontId="50" fillId="0" borderId="0" xfId="53" applyNumberFormat="1" applyFont="1" applyFill="1" applyBorder="1" applyAlignment="1">
      <alignment horizontal="center" wrapText="1"/>
    </xf>
    <xf numFmtId="0" fontId="50" fillId="0" borderId="0" xfId="53" applyFont="1" applyFill="1" applyBorder="1" applyAlignment="1">
      <alignment horizontal="center" wrapText="1"/>
    </xf>
    <xf numFmtId="185" fontId="50" fillId="0" borderId="9" xfId="53" applyNumberFormat="1" applyFont="1" applyFill="1" applyBorder="1" applyAlignment="1">
      <alignment horizontal="center" wrapText="1"/>
    </xf>
    <xf numFmtId="185" fontId="54" fillId="0" borderId="9" xfId="53" applyNumberFormat="1" applyFont="1" applyFill="1" applyBorder="1" applyAlignment="1">
      <alignment horizontal="center" wrapText="1"/>
    </xf>
    <xf numFmtId="0" fontId="55" fillId="0" borderId="0" xfId="53" applyFont="1" applyFill="1" applyBorder="1" applyAlignment="1">
      <alignment horizontal="left" wrapText="1"/>
    </xf>
    <xf numFmtId="0" fontId="53" fillId="0" borderId="0" xfId="53" applyFont="1" applyFill="1" applyBorder="1" applyAlignment="1">
      <alignment horizontal="right" wrapText="1"/>
    </xf>
    <xf numFmtId="184" fontId="51" fillId="0" borderId="0" xfId="0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洪河农村水利田园化二期工程结算" xfId="49"/>
    <cellStyle name="常规 2" xfId="50"/>
    <cellStyle name="常规_Sheet1" xfId="51"/>
    <cellStyle name="常规_耕作道工程量" xfId="52"/>
    <cellStyle name="常规 3" xfId="53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3433;&#20840;&#39278;&#27700;&#24037;&#31243;&#65288;24&#20010;&#28857;&#65289;\&#24050;&#23436;&#25104;\1&#12289;&#21335;&#27743;&#21439;&#36214;&#22330;&#38215;&#37329;&#39585;&#26449;&#39278;&#27700;&#23433;&#20840;&#24037;&#31243;\&#23457;&#26680;&#36164;&#26009;\&#35745;&#31639;&#31295;\&#32467;&#31639;&#23457;&#26680;&#65293;&#21335;&#27743;&#21439;&#36214;&#22330;&#38215;&#37329;&#39585;&#26449;&#39278;&#27700;&#23433;&#20840;&#24037;&#31243;&#65288;&#21547;&#24037;&#31243;&#37327;&#35745;&#31639;&#31295;&#65289;9.8&#23545;&#37327;&#23545;&#2021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2467;&#31639;&#25991;&#20214;&#22841;&#65288;&#26032;&#65289;\2021&#24180;&#24230;\&#21335;&#27743;&#21439;&#23457;&#35745;&#23616;&#12304;&#23457;&#35745;&#22797;&#26680;&#12305;&#25991;&#20214;&#22841;\&#39278;&#27700;&#23433;&#20840;&#39033;&#30446;\&#23457;&#35745;&#22797;&#26680;&#24213;&#31295;\&#21335;&#20140;&#27704;&#36947;\14&#12289;&#21335;&#27743;&#21439;&#21644;&#24179;&#20065;&#22367;&#26753;&#23376;&#26449;&#39278;&#27700;&#23433;&#20840;&#24037;&#31243;\&#21335;&#27743;&#21439;&#21644;&#24179;&#38215;&#22367;&#26753;&#23376;&#26449;&#39278;&#27700;&#23433;&#20840;&#24037;&#31243;&#65288;&#32467;&#31639;&#23457;&#35745;&#22797;&#26680;&#24773;&#20917;&#20844;&#31034;&#21450;&#38468;&#34920;&#65289;\&#21335;&#27743;&#21439;&#27719;&#28393;&#20065;&#22823;&#22445;&#37324;&#26449;&#39278;&#27700;&#23433;&#20840;&#24037;&#31243;&#32467;&#31639;&#23457;&#35745;&#22797;&#26680;&#24773;&#20917;&#20844;&#310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二转材料统计"/>
      <sheetName val="材料价格除税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材料价格除税表"/>
      <sheetName val="二转材料统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"/>
  <sheetViews>
    <sheetView tabSelected="1" workbookViewId="0">
      <selection activeCell="H4" sqref="H4:K4"/>
    </sheetView>
  </sheetViews>
  <sheetFormatPr defaultColWidth="9" defaultRowHeight="14.25"/>
  <cols>
    <col min="1" max="1" width="13.8833333333333" style="310" customWidth="1"/>
    <col min="2" max="3" width="0.133333333333333" style="310" customWidth="1"/>
    <col min="4" max="4" width="2.75" style="310" customWidth="1"/>
    <col min="5" max="5" width="1.63333333333333" style="310" customWidth="1"/>
    <col min="6" max="6" width="0.633333333333333" style="310" customWidth="1"/>
    <col min="7" max="7" width="0.133333333333333" style="310" customWidth="1"/>
    <col min="8" max="8" width="19.1333333333333" style="310" customWidth="1"/>
    <col min="9" max="9" width="0.133333333333333" style="310" customWidth="1"/>
    <col min="10" max="10" width="0.25" style="310" customWidth="1"/>
    <col min="11" max="11" width="8.63333333333333" style="310" customWidth="1"/>
    <col min="12" max="12" width="0.133333333333333" style="310" customWidth="1"/>
    <col min="13" max="13" width="4" style="310" customWidth="1"/>
    <col min="14" max="15" width="0.133333333333333" style="310" customWidth="1"/>
    <col min="16" max="16" width="0.5" style="310" customWidth="1"/>
    <col min="17" max="17" width="0.133333333333333" style="310" customWidth="1"/>
    <col min="18" max="18" width="4.13333333333333" style="310" customWidth="1"/>
    <col min="19" max="19" width="0.133333333333333" style="310" customWidth="1"/>
    <col min="20" max="20" width="0.25" style="310" customWidth="1"/>
    <col min="21" max="21" width="0.133333333333333" style="310" customWidth="1"/>
    <col min="22" max="22" width="2.63333333333333" style="310" customWidth="1"/>
    <col min="23" max="23" width="10.8833333333333" style="310" customWidth="1"/>
    <col min="24" max="24" width="2.63333333333333" style="310" customWidth="1"/>
    <col min="25" max="25" width="0.25" style="310" customWidth="1"/>
    <col min="26" max="26" width="3.25" style="310" customWidth="1"/>
    <col min="27" max="27" width="8.5" style="310" customWidth="1"/>
    <col min="28" max="28" width="0.25" style="310" customWidth="1"/>
    <col min="29" max="29" width="1.38333333333333" style="310" customWidth="1"/>
    <col min="30" max="30" width="0.133333333333333" style="310" customWidth="1"/>
    <col min="31" max="31" width="6.13333333333333" style="310" customWidth="1"/>
    <col min="32" max="32" width="15.5" style="310" customWidth="1"/>
    <col min="33" max="33" width="0.133333333333333" style="310" customWidth="1"/>
    <col min="34" max="34" width="3.38333333333333" style="310" customWidth="1"/>
    <col min="35" max="35" width="10.3833333333333" style="310"/>
    <col min="36" max="36" width="13.75" style="310"/>
    <col min="37" max="16384" width="9" style="310"/>
  </cols>
  <sheetData>
    <row r="1" s="310" customFormat="1" ht="27" customHeight="1" spans="1:34">
      <c r="A1" s="312" t="s">
        <v>0</v>
      </c>
      <c r="B1" s="312"/>
      <c r="C1" s="312"/>
      <c r="D1" s="312"/>
      <c r="E1" s="313" t="s">
        <v>1</v>
      </c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28"/>
      <c r="AG1" s="328"/>
      <c r="AH1" s="328"/>
    </row>
    <row r="2" s="310" customFormat="1" ht="39" customHeight="1" spans="1:34">
      <c r="A2" s="314" t="s">
        <v>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</row>
    <row r="3" s="311" customFormat="1" ht="43" customHeight="1" spans="1:34">
      <c r="A3" s="315" t="s">
        <v>3</v>
      </c>
      <c r="B3" s="316"/>
      <c r="C3" s="316"/>
      <c r="D3" s="316"/>
      <c r="E3" s="316"/>
      <c r="F3" s="316"/>
      <c r="G3" s="316"/>
      <c r="H3" s="317">
        <f>ROUND(525801.96,0)</f>
        <v>525802</v>
      </c>
      <c r="I3" s="317"/>
      <c r="J3" s="317"/>
      <c r="K3" s="317"/>
      <c r="L3" s="317"/>
      <c r="M3" s="316" t="s">
        <v>4</v>
      </c>
      <c r="N3" s="316"/>
      <c r="O3" s="316"/>
      <c r="P3" s="316"/>
      <c r="Q3" s="316"/>
      <c r="R3" s="316"/>
      <c r="S3" s="316"/>
      <c r="T3" s="316"/>
      <c r="U3" s="316"/>
      <c r="V3" s="326">
        <f>H3</f>
        <v>525802</v>
      </c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16" t="s">
        <v>0</v>
      </c>
    </row>
    <row r="4" s="311" customFormat="1" ht="45" customHeight="1" spans="1:34">
      <c r="A4" s="315" t="s">
        <v>5</v>
      </c>
      <c r="B4" s="316"/>
      <c r="C4" s="316"/>
      <c r="D4" s="316"/>
      <c r="E4" s="316"/>
      <c r="F4" s="316"/>
      <c r="G4" s="316"/>
      <c r="H4" s="317">
        <f>ROUND(汇总表!F24,0)</f>
        <v>661739</v>
      </c>
      <c r="I4" s="317"/>
      <c r="J4" s="317"/>
      <c r="K4" s="317"/>
      <c r="L4" s="324"/>
      <c r="M4" s="316" t="s">
        <v>4</v>
      </c>
      <c r="N4" s="316"/>
      <c r="O4" s="316"/>
      <c r="P4" s="316"/>
      <c r="Q4" s="316"/>
      <c r="R4" s="316"/>
      <c r="S4" s="316"/>
      <c r="T4" s="316"/>
      <c r="U4" s="316"/>
      <c r="V4" s="326">
        <f>H4</f>
        <v>661739</v>
      </c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16"/>
    </row>
    <row r="5" s="311" customFormat="1" ht="42.75" customHeight="1" spans="1:34">
      <c r="A5" s="315" t="s">
        <v>6</v>
      </c>
      <c r="B5" s="316"/>
      <c r="C5" s="316"/>
      <c r="D5" s="316"/>
      <c r="E5" s="316"/>
      <c r="F5" s="316"/>
      <c r="G5" s="318"/>
      <c r="H5" s="319">
        <f ca="1">ROUND(结算审核表!I103-结算审核表!N103,0)</f>
        <v>84203</v>
      </c>
      <c r="I5" s="319"/>
      <c r="J5" s="319"/>
      <c r="K5" s="319"/>
      <c r="L5" s="316" t="s">
        <v>4</v>
      </c>
      <c r="M5" s="316"/>
      <c r="N5" s="316"/>
      <c r="O5" s="316"/>
      <c r="P5" s="316"/>
      <c r="Q5" s="316"/>
      <c r="R5" s="316"/>
      <c r="S5" s="316"/>
      <c r="T5" s="316"/>
      <c r="U5" s="327">
        <v>12377093</v>
      </c>
      <c r="V5" s="326">
        <f ca="1">H5</f>
        <v>84203</v>
      </c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16"/>
    </row>
    <row r="6" s="311" customFormat="1" ht="69.75" customHeight="1" spans="1:34">
      <c r="A6" s="316" t="s">
        <v>7</v>
      </c>
      <c r="B6" s="316"/>
      <c r="C6" s="320" t="s">
        <v>8</v>
      </c>
      <c r="D6" s="320"/>
      <c r="E6" s="320"/>
      <c r="F6" s="320"/>
      <c r="G6" s="320"/>
      <c r="H6" s="320"/>
      <c r="I6" s="320"/>
      <c r="J6" s="316" t="s">
        <v>9</v>
      </c>
      <c r="K6" s="316"/>
      <c r="L6" s="316"/>
      <c r="M6" s="316"/>
      <c r="N6" s="316"/>
      <c r="O6" s="316"/>
      <c r="P6" s="320" t="s">
        <v>10</v>
      </c>
      <c r="Q6" s="320"/>
      <c r="R6" s="320"/>
      <c r="S6" s="320"/>
      <c r="T6" s="320"/>
      <c r="U6" s="320"/>
      <c r="V6" s="320"/>
      <c r="W6" s="320"/>
      <c r="X6" s="320"/>
      <c r="Y6" s="320"/>
      <c r="Z6" s="316" t="s">
        <v>11</v>
      </c>
      <c r="AA6" s="316"/>
      <c r="AB6" s="316"/>
      <c r="AC6" s="320" t="s">
        <v>12</v>
      </c>
      <c r="AD6" s="320"/>
      <c r="AE6" s="320"/>
      <c r="AF6" s="320"/>
      <c r="AG6" s="320"/>
      <c r="AH6" s="320"/>
    </row>
    <row r="7" s="311" customFormat="1" ht="20.25" customHeight="1" spans="1:36">
      <c r="A7" s="316" t="s">
        <v>0</v>
      </c>
      <c r="B7" s="321" t="s">
        <v>13</v>
      </c>
      <c r="C7" s="321"/>
      <c r="D7" s="321"/>
      <c r="E7" s="321"/>
      <c r="F7" s="321"/>
      <c r="G7" s="321"/>
      <c r="H7" s="321"/>
      <c r="I7" s="321"/>
      <c r="J7" s="321"/>
      <c r="K7" s="321" t="s">
        <v>0</v>
      </c>
      <c r="L7" s="321"/>
      <c r="M7" s="321"/>
      <c r="N7" s="321"/>
      <c r="O7" s="321"/>
      <c r="P7" s="321" t="s">
        <v>13</v>
      </c>
      <c r="Q7" s="321"/>
      <c r="R7" s="321"/>
      <c r="S7" s="321"/>
      <c r="T7" s="321"/>
      <c r="U7" s="321"/>
      <c r="V7" s="321"/>
      <c r="W7" s="321"/>
      <c r="X7" s="321"/>
      <c r="Y7" s="325" t="s">
        <v>0</v>
      </c>
      <c r="Z7" s="325"/>
      <c r="AA7" s="325"/>
      <c r="AB7" s="321" t="s">
        <v>13</v>
      </c>
      <c r="AC7" s="321"/>
      <c r="AD7" s="321"/>
      <c r="AE7" s="321"/>
      <c r="AF7" s="321"/>
      <c r="AG7" s="321"/>
      <c r="AH7" s="321"/>
      <c r="AJ7" s="330"/>
    </row>
    <row r="8" s="311" customFormat="1" ht="41.25" customHeight="1" spans="1:34">
      <c r="A8" s="316" t="s">
        <v>14</v>
      </c>
      <c r="B8" s="316"/>
      <c r="C8" s="320" t="s">
        <v>15</v>
      </c>
      <c r="D8" s="320"/>
      <c r="E8" s="320"/>
      <c r="F8" s="320"/>
      <c r="G8" s="320"/>
      <c r="H8" s="320"/>
      <c r="I8" s="320"/>
      <c r="J8" s="320"/>
      <c r="K8" s="316" t="s">
        <v>14</v>
      </c>
      <c r="L8" s="316"/>
      <c r="M8" s="316"/>
      <c r="N8" s="316"/>
      <c r="O8" s="316"/>
      <c r="P8" s="316"/>
      <c r="Q8" s="316"/>
      <c r="R8" s="320" t="s">
        <v>15</v>
      </c>
      <c r="S8" s="320"/>
      <c r="T8" s="320"/>
      <c r="U8" s="320"/>
      <c r="V8" s="320"/>
      <c r="W8" s="320"/>
      <c r="X8" s="320"/>
      <c r="Y8" s="320"/>
      <c r="Z8" s="316" t="s">
        <v>14</v>
      </c>
      <c r="AA8" s="316"/>
      <c r="AB8" s="316"/>
      <c r="AC8" s="316"/>
      <c r="AD8" s="316"/>
      <c r="AE8" s="320"/>
      <c r="AF8" s="320"/>
      <c r="AG8" s="320"/>
      <c r="AH8" s="320"/>
    </row>
    <row r="9" s="311" customFormat="1" ht="20.25" customHeight="1" spans="1:34">
      <c r="A9" s="316" t="s">
        <v>0</v>
      </c>
      <c r="B9" s="321" t="s">
        <v>16</v>
      </c>
      <c r="C9" s="321"/>
      <c r="D9" s="321"/>
      <c r="E9" s="321"/>
      <c r="F9" s="321"/>
      <c r="G9" s="321"/>
      <c r="H9" s="321"/>
      <c r="I9" s="321" t="s">
        <v>0</v>
      </c>
      <c r="J9" s="321"/>
      <c r="K9" s="321"/>
      <c r="L9" s="321"/>
      <c r="M9" s="321"/>
      <c r="N9" s="321"/>
      <c r="O9" s="321"/>
      <c r="P9" s="321"/>
      <c r="Q9" s="321" t="s">
        <v>16</v>
      </c>
      <c r="R9" s="321"/>
      <c r="S9" s="321"/>
      <c r="T9" s="321"/>
      <c r="U9" s="321"/>
      <c r="V9" s="321"/>
      <c r="W9" s="321"/>
      <c r="X9" s="321"/>
      <c r="Y9" s="321"/>
      <c r="Z9" s="321" t="s">
        <v>0</v>
      </c>
      <c r="AA9" s="321"/>
      <c r="AB9" s="321"/>
      <c r="AC9" s="321"/>
      <c r="AD9" s="321" t="s">
        <v>16</v>
      </c>
      <c r="AE9" s="321"/>
      <c r="AF9" s="321"/>
      <c r="AG9" s="321"/>
      <c r="AH9" s="321"/>
    </row>
    <row r="10" s="311" customFormat="1" ht="49.5" customHeight="1" spans="1:34">
      <c r="A10" s="316" t="s">
        <v>17</v>
      </c>
      <c r="B10" s="316"/>
      <c r="C10" s="320" t="s">
        <v>18</v>
      </c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16" t="s">
        <v>0</v>
      </c>
      <c r="P10" s="316"/>
      <c r="Q10" s="316"/>
      <c r="R10" s="316"/>
      <c r="S10" s="316"/>
      <c r="T10" s="316" t="s">
        <v>19</v>
      </c>
      <c r="U10" s="316"/>
      <c r="V10" s="316"/>
      <c r="W10" s="316"/>
      <c r="X10" s="320" t="s">
        <v>15</v>
      </c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</row>
    <row r="11" s="311" customFormat="1" ht="21.75" customHeight="1" spans="1:34">
      <c r="A11" s="316" t="s">
        <v>0</v>
      </c>
      <c r="B11" s="316"/>
      <c r="C11" s="316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5" t="s">
        <v>0</v>
      </c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1"/>
      <c r="AB11" s="321"/>
      <c r="AC11" s="321"/>
      <c r="AD11" s="321"/>
      <c r="AE11" s="321"/>
      <c r="AF11" s="321"/>
      <c r="AG11" s="321"/>
      <c r="AH11" s="321"/>
    </row>
    <row r="12" s="311" customFormat="1" ht="31.5" customHeight="1" spans="1:34">
      <c r="A12" s="316" t="s">
        <v>20</v>
      </c>
      <c r="B12" s="316"/>
      <c r="C12" s="316"/>
      <c r="D12" s="316"/>
      <c r="E12" s="316"/>
      <c r="F12" s="316" t="s">
        <v>15</v>
      </c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 t="s">
        <v>15</v>
      </c>
      <c r="AB12" s="316"/>
      <c r="AC12" s="316"/>
      <c r="AD12" s="316"/>
      <c r="AE12" s="316"/>
      <c r="AF12" s="316"/>
      <c r="AG12" s="316"/>
      <c r="AH12" s="316"/>
    </row>
    <row r="13" s="310" customFormat="1" ht="37" customHeight="1" spans="1:34">
      <c r="A13" s="322" t="s">
        <v>0</v>
      </c>
      <c r="B13" s="322"/>
      <c r="C13" s="322"/>
      <c r="D13" s="322"/>
      <c r="E13" s="322"/>
      <c r="F13" s="323" t="s">
        <v>0</v>
      </c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2" t="s">
        <v>0</v>
      </c>
      <c r="X13" s="322"/>
      <c r="Y13" s="322"/>
      <c r="Z13" s="322"/>
      <c r="AA13" s="329"/>
      <c r="AB13" s="329"/>
      <c r="AC13" s="329"/>
      <c r="AD13" s="329"/>
      <c r="AE13" s="329"/>
      <c r="AF13" s="329"/>
      <c r="AG13" s="329"/>
      <c r="AH13" s="329"/>
    </row>
  </sheetData>
  <mergeCells count="55">
    <mergeCell ref="A1:D1"/>
    <mergeCell ref="E1:AE1"/>
    <mergeCell ref="AF1:AH1"/>
    <mergeCell ref="A2:AH2"/>
    <mergeCell ref="A3:G3"/>
    <mergeCell ref="H3:L3"/>
    <mergeCell ref="M3:U3"/>
    <mergeCell ref="V3:AG3"/>
    <mergeCell ref="A4:F4"/>
    <mergeCell ref="H4:K4"/>
    <mergeCell ref="M4:U4"/>
    <mergeCell ref="V4:AG4"/>
    <mergeCell ref="A5:F5"/>
    <mergeCell ref="H5:K5"/>
    <mergeCell ref="L5:T5"/>
    <mergeCell ref="V5:AG5"/>
    <mergeCell ref="A6:B6"/>
    <mergeCell ref="C6:I6"/>
    <mergeCell ref="J6:O6"/>
    <mergeCell ref="P6:Y6"/>
    <mergeCell ref="Z6:AB6"/>
    <mergeCell ref="AC6:AH6"/>
    <mergeCell ref="B7:J7"/>
    <mergeCell ref="K7:O7"/>
    <mergeCell ref="P7:X7"/>
    <mergeCell ref="Y7:AA7"/>
    <mergeCell ref="AB7:AH7"/>
    <mergeCell ref="A8:B8"/>
    <mergeCell ref="C8:J8"/>
    <mergeCell ref="K8:Q8"/>
    <mergeCell ref="R8:Y8"/>
    <mergeCell ref="Z8:AD8"/>
    <mergeCell ref="AE8:AH8"/>
    <mergeCell ref="B9:H9"/>
    <mergeCell ref="I9:P9"/>
    <mergeCell ref="Q9:Y9"/>
    <mergeCell ref="Z9:AC9"/>
    <mergeCell ref="AD9:AH9"/>
    <mergeCell ref="A10:B10"/>
    <mergeCell ref="C10:N10"/>
    <mergeCell ref="O10:S10"/>
    <mergeCell ref="T10:W10"/>
    <mergeCell ref="X10:AH10"/>
    <mergeCell ref="A11:C11"/>
    <mergeCell ref="D11:M11"/>
    <mergeCell ref="N11:Z11"/>
    <mergeCell ref="AA11:AH11"/>
    <mergeCell ref="A12:E12"/>
    <mergeCell ref="F12:R12"/>
    <mergeCell ref="S12:Z12"/>
    <mergeCell ref="AA12:AH12"/>
    <mergeCell ref="A13:E13"/>
    <mergeCell ref="F13:V13"/>
    <mergeCell ref="W13:Z13"/>
    <mergeCell ref="AA13:AH13"/>
  </mergeCells>
  <pageMargins left="1.57430555555556" right="0.786805555555556" top="0.78680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opLeftCell="C1" workbookViewId="0">
      <pane ySplit="4" topLeftCell="A17" activePane="bottomLeft" state="frozenSplit"/>
      <selection/>
      <selection pane="bottomLeft" activeCell="H10" sqref="H10"/>
    </sheetView>
  </sheetViews>
  <sheetFormatPr defaultColWidth="9" defaultRowHeight="13.5"/>
  <cols>
    <col min="1" max="1" width="4.125" style="27" customWidth="1"/>
    <col min="2" max="2" width="31.5" style="30" customWidth="1"/>
    <col min="3" max="3" width="6.625" style="30" customWidth="1"/>
    <col min="4" max="9" width="12.625" style="268" customWidth="1"/>
    <col min="10" max="11" width="12.625" style="269" customWidth="1"/>
    <col min="12" max="12" width="12.875" style="27" customWidth="1"/>
    <col min="13" max="13" width="12.8" style="30" customWidth="1"/>
    <col min="14" max="14" width="13.75" style="30"/>
    <col min="15" max="15" width="9" style="30"/>
    <col min="16" max="17" width="11.5" style="30"/>
    <col min="18" max="16384" width="9" style="30"/>
  </cols>
  <sheetData>
    <row r="1" ht="30" customHeight="1" spans="1:12">
      <c r="A1" s="270" t="s">
        <v>21</v>
      </c>
      <c r="B1" s="270"/>
      <c r="C1" s="270"/>
      <c r="D1" s="270"/>
      <c r="E1" s="270"/>
      <c r="F1" s="270"/>
      <c r="G1" s="270"/>
      <c r="H1" s="270"/>
      <c r="I1" s="270"/>
      <c r="J1" s="295"/>
      <c r="K1" s="295"/>
      <c r="L1" s="270"/>
    </row>
    <row r="2" ht="19" customHeight="1" spans="1:12">
      <c r="A2" s="271" t="s">
        <v>22</v>
      </c>
      <c r="B2" s="271"/>
      <c r="C2" s="271"/>
      <c r="D2" s="271"/>
      <c r="E2" s="271"/>
      <c r="F2" s="271"/>
      <c r="G2" s="271"/>
      <c r="H2" s="271"/>
      <c r="I2" s="271"/>
      <c r="J2" s="296"/>
      <c r="K2" s="296"/>
      <c r="L2" s="271"/>
    </row>
    <row r="3" ht="19" customHeight="1" spans="1:12">
      <c r="A3" s="203" t="s">
        <v>23</v>
      </c>
      <c r="B3" s="203" t="s">
        <v>24</v>
      </c>
      <c r="C3" s="203" t="s">
        <v>25</v>
      </c>
      <c r="D3" s="203" t="s">
        <v>26</v>
      </c>
      <c r="E3" s="203"/>
      <c r="F3" s="203" t="s">
        <v>27</v>
      </c>
      <c r="G3" s="203"/>
      <c r="H3" s="203" t="s">
        <v>28</v>
      </c>
      <c r="I3" s="203"/>
      <c r="J3" s="205" t="s">
        <v>29</v>
      </c>
      <c r="K3" s="205"/>
      <c r="L3" s="203" t="s">
        <v>30</v>
      </c>
    </row>
    <row r="4" ht="29" customHeight="1" spans="1:12">
      <c r="A4" s="203"/>
      <c r="B4" s="203"/>
      <c r="C4" s="203"/>
      <c r="D4" s="203" t="s">
        <v>31</v>
      </c>
      <c r="E4" s="203" t="s">
        <v>32</v>
      </c>
      <c r="F4" s="203" t="s">
        <v>31</v>
      </c>
      <c r="G4" s="203" t="s">
        <v>32</v>
      </c>
      <c r="H4" s="203" t="s">
        <v>31</v>
      </c>
      <c r="I4" s="203" t="s">
        <v>32</v>
      </c>
      <c r="J4" s="297" t="s">
        <v>33</v>
      </c>
      <c r="K4" s="297" t="s">
        <v>34</v>
      </c>
      <c r="L4" s="203"/>
    </row>
    <row r="5" s="266" customFormat="1" ht="20" customHeight="1" spans="1:12">
      <c r="A5" s="272"/>
      <c r="B5" s="207" t="str">
        <f>结算审核表!B6</f>
        <v>第一部分 建筑工程</v>
      </c>
      <c r="C5" s="273"/>
      <c r="D5" s="274">
        <f>结算审核表!G6</f>
        <v>54245.94</v>
      </c>
      <c r="E5" s="274"/>
      <c r="F5" s="274">
        <f>结算审核表!L6</f>
        <v>526653.921</v>
      </c>
      <c r="G5" s="274"/>
      <c r="H5" s="275">
        <f ca="1">SUM(H6:H14)</f>
        <v>449977.902059332</v>
      </c>
      <c r="I5" s="275"/>
      <c r="J5" s="275">
        <f ca="1">SUM(J6:J14)</f>
        <v>395731.962059332</v>
      </c>
      <c r="K5" s="275">
        <f ca="1">SUM(K6:K14)</f>
        <v>-76676.0089406683</v>
      </c>
      <c r="L5" s="298"/>
    </row>
    <row r="6" s="267" customFormat="1" ht="20" customHeight="1" spans="1:12">
      <c r="A6" s="211" t="str">
        <f>结算审核表!A7</f>
        <v>一</v>
      </c>
      <c r="B6" s="276" t="str">
        <f>结算审核表!B7</f>
        <v>调节池工程</v>
      </c>
      <c r="C6" s="277" t="s">
        <v>35</v>
      </c>
      <c r="D6" s="278">
        <f>结算审核表!G7</f>
        <v>54245.94</v>
      </c>
      <c r="E6" s="278"/>
      <c r="F6" s="278">
        <f>结算审核表!L7</f>
        <v>76988.65</v>
      </c>
      <c r="G6" s="278"/>
      <c r="H6" s="278">
        <f ca="1">结算审核表!Q7</f>
        <v>65595.6344584691</v>
      </c>
      <c r="I6" s="282"/>
      <c r="J6" s="299">
        <f ca="1" t="shared" ref="J6:J14" si="0">H6-D6</f>
        <v>11349.6944584691</v>
      </c>
      <c r="K6" s="299">
        <f ca="1" t="shared" ref="K6:K14" si="1">H6-F6</f>
        <v>-11393.0155415309</v>
      </c>
      <c r="L6" s="300"/>
    </row>
    <row r="7" s="267" customFormat="1" ht="20" customHeight="1" spans="1:12">
      <c r="A7" s="211" t="str">
        <f>结算审核表!A20</f>
        <v>二</v>
      </c>
      <c r="B7" s="276" t="str">
        <f>结算审核表!B20</f>
        <v>新增围墙工程</v>
      </c>
      <c r="C7" s="277" t="s">
        <v>35</v>
      </c>
      <c r="D7" s="278"/>
      <c r="E7" s="278"/>
      <c r="F7" s="278">
        <f>结算审核表!L20</f>
        <v>152084.91</v>
      </c>
      <c r="G7" s="278"/>
      <c r="H7" s="278">
        <f ca="1">结算审核表!Q20</f>
        <v>129790.783869224</v>
      </c>
      <c r="I7" s="282"/>
      <c r="J7" s="299">
        <f ca="1" t="shared" si="0"/>
        <v>129790.783869224</v>
      </c>
      <c r="K7" s="299">
        <f ca="1" t="shared" si="1"/>
        <v>-22294.1261307761</v>
      </c>
      <c r="L7" s="300"/>
    </row>
    <row r="8" s="267" customFormat="1" ht="20" customHeight="1" spans="1:12">
      <c r="A8" s="211" t="str">
        <f>结算审核表!A30</f>
        <v>三</v>
      </c>
      <c r="B8" s="276" t="str">
        <f>结算审核表!B30</f>
        <v>新增管理房工程</v>
      </c>
      <c r="C8" s="277" t="s">
        <v>35</v>
      </c>
      <c r="D8" s="278"/>
      <c r="E8" s="278"/>
      <c r="F8" s="278">
        <f>结算审核表!L30</f>
        <v>33665.95</v>
      </c>
      <c r="G8" s="278"/>
      <c r="H8" s="278">
        <f ca="1">结算审核表!Q30</f>
        <v>29742.0662681683</v>
      </c>
      <c r="I8" s="282"/>
      <c r="J8" s="299">
        <f ca="1" t="shared" si="0"/>
        <v>29742.0662681683</v>
      </c>
      <c r="K8" s="299">
        <f ca="1" t="shared" si="1"/>
        <v>-3923.8837318317</v>
      </c>
      <c r="L8" s="300"/>
    </row>
    <row r="9" s="267" customFormat="1" ht="20" customHeight="1" spans="1:12">
      <c r="A9" s="211" t="str">
        <f>结算审核表!A40</f>
        <v>四</v>
      </c>
      <c r="B9" s="276" t="str">
        <f>结算审核表!B40</f>
        <v>新增沉砂池工程</v>
      </c>
      <c r="C9" s="277" t="s">
        <v>35</v>
      </c>
      <c r="D9" s="278"/>
      <c r="E9" s="278"/>
      <c r="F9" s="278">
        <f>结算审核表!L40</f>
        <v>6423.3</v>
      </c>
      <c r="G9" s="278"/>
      <c r="H9" s="278">
        <f ca="1">结算审核表!Q40</f>
        <v>5317.08353</v>
      </c>
      <c r="I9" s="282"/>
      <c r="J9" s="299">
        <f ca="1" t="shared" si="0"/>
        <v>5317.08353</v>
      </c>
      <c r="K9" s="299">
        <f ca="1" t="shared" si="1"/>
        <v>-1106.21647</v>
      </c>
      <c r="L9" s="300"/>
    </row>
    <row r="10" s="267" customFormat="1" ht="20" customHeight="1" spans="1:12">
      <c r="A10" s="211" t="str">
        <f>结算审核表!A44</f>
        <v>五</v>
      </c>
      <c r="B10" s="276" t="str">
        <f>结算审核表!B44</f>
        <v>新增人工挖孔桩工程</v>
      </c>
      <c r="C10" s="277" t="s">
        <v>35</v>
      </c>
      <c r="D10" s="278"/>
      <c r="E10" s="278"/>
      <c r="F10" s="278">
        <f>结算审核表!L44</f>
        <v>31181.72</v>
      </c>
      <c r="G10" s="278"/>
      <c r="H10" s="278">
        <f ca="1">结算审核表!Q44</f>
        <v>31063.93119522</v>
      </c>
      <c r="I10" s="282"/>
      <c r="J10" s="299">
        <f ca="1" t="shared" si="0"/>
        <v>31063.93119522</v>
      </c>
      <c r="K10" s="299">
        <f ca="1" t="shared" si="1"/>
        <v>-117.788804780001</v>
      </c>
      <c r="L10" s="300"/>
    </row>
    <row r="11" s="267" customFormat="1" ht="20" customHeight="1" spans="1:12">
      <c r="A11" s="211" t="str">
        <f>结算审核表!A49</f>
        <v>六</v>
      </c>
      <c r="B11" s="276" t="str">
        <f>结算审核表!B49</f>
        <v>新增施工便道工程</v>
      </c>
      <c r="C11" s="277" t="s">
        <v>35</v>
      </c>
      <c r="D11" s="278"/>
      <c r="E11" s="278"/>
      <c r="F11" s="278">
        <f>结算审核表!L49</f>
        <v>38946.81</v>
      </c>
      <c r="G11" s="278"/>
      <c r="H11" s="278">
        <f ca="1">结算审核表!Q49</f>
        <v>41844.432</v>
      </c>
      <c r="I11" s="282"/>
      <c r="J11" s="299">
        <f ca="1" t="shared" si="0"/>
        <v>41844.432</v>
      </c>
      <c r="K11" s="299">
        <f ca="1" t="shared" si="1"/>
        <v>2897.622</v>
      </c>
      <c r="L11" s="300"/>
    </row>
    <row r="12" s="267" customFormat="1" ht="20" customHeight="1" spans="1:12">
      <c r="A12" s="211" t="str">
        <f>结算审核表!A52</f>
        <v>七</v>
      </c>
      <c r="B12" s="276" t="str">
        <f>结算审核表!B52</f>
        <v>新增管道开挖埋设工程</v>
      </c>
      <c r="C12" s="277" t="s">
        <v>35</v>
      </c>
      <c r="D12" s="278"/>
      <c r="E12" s="278"/>
      <c r="F12" s="278">
        <f>结算审核表!L52</f>
        <v>108868.41</v>
      </c>
      <c r="G12" s="278"/>
      <c r="H12" s="278">
        <f ca="1">结算审核表!Q52</f>
        <v>93601.13379688</v>
      </c>
      <c r="I12" s="282"/>
      <c r="J12" s="299">
        <f ca="1" t="shared" si="0"/>
        <v>93601.13379688</v>
      </c>
      <c r="K12" s="299">
        <f ca="1" t="shared" si="1"/>
        <v>-15267.27620312</v>
      </c>
      <c r="L12" s="300"/>
    </row>
    <row r="13" s="267" customFormat="1" ht="20" customHeight="1" spans="1:12">
      <c r="A13" s="211" t="str">
        <f>结算审核表!A55</f>
        <v>八</v>
      </c>
      <c r="B13" s="276" t="str">
        <f>结算审核表!B55</f>
        <v>新增厂区附属工程</v>
      </c>
      <c r="C13" s="277" t="s">
        <v>35</v>
      </c>
      <c r="D13" s="278"/>
      <c r="E13" s="278"/>
      <c r="F13" s="278">
        <f>结算审核表!L55</f>
        <v>68014.81</v>
      </c>
      <c r="G13" s="278"/>
      <c r="H13" s="278">
        <f ca="1">结算审核表!Q55</f>
        <v>46225.4013498564</v>
      </c>
      <c r="I13" s="282"/>
      <c r="J13" s="299">
        <f ca="1" t="shared" si="0"/>
        <v>46225.4013498564</v>
      </c>
      <c r="K13" s="299">
        <f ca="1" t="shared" si="1"/>
        <v>-21789.4086501436</v>
      </c>
      <c r="L13" s="300"/>
    </row>
    <row r="14" s="267" customFormat="1" ht="20" customHeight="1" spans="1:12">
      <c r="A14" s="211" t="str">
        <f>结算审核表!A63</f>
        <v>增补</v>
      </c>
      <c r="B14" s="276" t="str">
        <f>结算审核表!B63</f>
        <v>镀锌钢管河道砼埋设</v>
      </c>
      <c r="C14" s="277" t="s">
        <v>35</v>
      </c>
      <c r="D14" s="278"/>
      <c r="E14" s="278"/>
      <c r="F14" s="278">
        <f>结算审核表!L63</f>
        <v>10479.351</v>
      </c>
      <c r="G14" s="278"/>
      <c r="H14" s="278">
        <f ca="1">结算审核表!Q63</f>
        <v>6797.43559151396</v>
      </c>
      <c r="I14" s="282"/>
      <c r="J14" s="299">
        <f ca="1" t="shared" si="0"/>
        <v>6797.43559151396</v>
      </c>
      <c r="K14" s="299">
        <f ca="1" t="shared" si="1"/>
        <v>-3681.91540848604</v>
      </c>
      <c r="L14" s="300"/>
    </row>
    <row r="15" customFormat="1" ht="20" customHeight="1" spans="1:12">
      <c r="A15" s="279"/>
      <c r="B15" s="207" t="str">
        <f>结算审核表!B68</f>
        <v>第二部分 机电设备安装工程</v>
      </c>
      <c r="C15" s="280"/>
      <c r="D15" s="274">
        <f>结算审核表!G68</f>
        <v>1958156.02</v>
      </c>
      <c r="E15" s="274">
        <f>结算审核表!H68</f>
        <v>351400</v>
      </c>
      <c r="F15" s="274">
        <f>结算审核表!L68</f>
        <v>1872714.58</v>
      </c>
      <c r="G15" s="274">
        <f>结算审核表!M68</f>
        <v>58695</v>
      </c>
      <c r="H15" s="275">
        <f ca="1">结算审核表!Q68</f>
        <v>1875151.421</v>
      </c>
      <c r="I15" s="275">
        <f ca="1">结算审核表!R68</f>
        <v>54565.1986486487</v>
      </c>
      <c r="J15" s="301">
        <f ca="1">H15+I15-D15-E15</f>
        <v>-379839.400351351</v>
      </c>
      <c r="K15" s="301">
        <f ca="1" t="shared" ref="K15:K18" si="2">H15+I15-F15-G15</f>
        <v>-1692.96035135142</v>
      </c>
      <c r="L15" s="283"/>
    </row>
    <row r="16" customFormat="1" ht="20" customHeight="1" spans="1:12">
      <c r="A16" s="281" t="str">
        <f>结算审核表!A69</f>
        <v>一</v>
      </c>
      <c r="B16" s="276" t="str">
        <f>结算审核表!B69</f>
        <v>新增设备安装工程</v>
      </c>
      <c r="C16" s="277" t="s">
        <v>35</v>
      </c>
      <c r="D16" s="278"/>
      <c r="E16" s="278"/>
      <c r="F16" s="278">
        <f>结算审核表!L69</f>
        <v>76390</v>
      </c>
      <c r="G16" s="278">
        <f>结算审核表!M69</f>
        <v>18705</v>
      </c>
      <c r="H16" s="282">
        <f ca="1">结算审核表!Q69</f>
        <v>78826.841</v>
      </c>
      <c r="I16" s="282">
        <f ca="1">结算审核表!R69</f>
        <v>17388.9094594595</v>
      </c>
      <c r="J16" s="302">
        <f ca="1">H16+I16-D16-E16</f>
        <v>96215.7504594595</v>
      </c>
      <c r="K16" s="302">
        <f ca="1" t="shared" si="2"/>
        <v>1120.75045945945</v>
      </c>
      <c r="L16" s="303"/>
    </row>
    <row r="17" customFormat="1" ht="20" customHeight="1" spans="1:12">
      <c r="A17" s="211" t="str">
        <f>结算审核表!A77</f>
        <v>二</v>
      </c>
      <c r="B17" s="276" t="str">
        <f>结算审核表!B77</f>
        <v>管网安装工程</v>
      </c>
      <c r="C17" s="277" t="s">
        <v>35</v>
      </c>
      <c r="D17" s="278"/>
      <c r="E17" s="278">
        <f>结算审核表!H77</f>
        <v>351400</v>
      </c>
      <c r="F17" s="278"/>
      <c r="G17" s="278">
        <f>结算审核表!M77</f>
        <v>39990</v>
      </c>
      <c r="H17" s="282"/>
      <c r="I17" s="282">
        <f ca="1">结算审核表!R77</f>
        <v>37176.2891891892</v>
      </c>
      <c r="J17" s="302">
        <f ca="1" t="shared" ref="J15:J18" si="3">H17+I17-D17-E17</f>
        <v>-314223.710810811</v>
      </c>
      <c r="K17" s="302">
        <f ca="1" t="shared" si="2"/>
        <v>-2813.71081081079</v>
      </c>
      <c r="L17" s="281"/>
    </row>
    <row r="18" customFormat="1" ht="20" customHeight="1" spans="1:12">
      <c r="A18" s="211" t="str">
        <f>结算审核表!A87</f>
        <v>三</v>
      </c>
      <c r="B18" s="276" t="str">
        <f>结算审核表!B87</f>
        <v>政府采购PE管</v>
      </c>
      <c r="C18" s="277" t="s">
        <v>35</v>
      </c>
      <c r="D18" s="278">
        <f>结算审核表!G87</f>
        <v>1958156.02</v>
      </c>
      <c r="E18" s="278"/>
      <c r="F18" s="278">
        <f>结算审核表!L87</f>
        <v>1796324.58</v>
      </c>
      <c r="G18" s="278"/>
      <c r="H18" s="282">
        <f>结算审核表!Q87</f>
        <v>1796324.58</v>
      </c>
      <c r="I18" s="282"/>
      <c r="J18" s="302">
        <f t="shared" si="3"/>
        <v>-161831.44</v>
      </c>
      <c r="K18" s="302">
        <f t="shared" si="2"/>
        <v>0</v>
      </c>
      <c r="L18" s="281"/>
    </row>
    <row r="19" customFormat="1" ht="20" customHeight="1" spans="1:12">
      <c r="A19" s="283"/>
      <c r="B19" s="207" t="s">
        <v>36</v>
      </c>
      <c r="C19" s="284"/>
      <c r="D19" s="285">
        <f>结算审核表!D98</f>
        <v>106371.11</v>
      </c>
      <c r="E19" s="286"/>
      <c r="F19" s="285">
        <f>结算审核表!I98</f>
        <v>35453.49</v>
      </c>
      <c r="G19" s="286"/>
      <c r="H19" s="285">
        <f>结算审核表!N98</f>
        <v>35453.49</v>
      </c>
      <c r="I19" s="286"/>
      <c r="J19" s="301">
        <f>H19-D19</f>
        <v>-70917.62</v>
      </c>
      <c r="K19" s="301">
        <f>H19-F19</f>
        <v>0</v>
      </c>
      <c r="L19" s="283"/>
    </row>
    <row r="20" ht="30" customHeight="1" spans="1:12">
      <c r="A20" s="281"/>
      <c r="B20" s="241" t="s">
        <v>37</v>
      </c>
      <c r="C20" s="287"/>
      <c r="D20" s="288">
        <f>结算审核表!D99</f>
        <v>2470173.07</v>
      </c>
      <c r="E20" s="288"/>
      <c r="F20" s="288">
        <f>结算审核表!I99</f>
        <v>2493516.991</v>
      </c>
      <c r="G20" s="288"/>
      <c r="H20" s="288">
        <f ca="1">结算审核表!N99</f>
        <v>2415148.01170798</v>
      </c>
      <c r="I20" s="288"/>
      <c r="J20" s="304">
        <f ca="1" t="shared" ref="J20:J24" si="4">H20-D20</f>
        <v>-55025.0582920192</v>
      </c>
      <c r="K20" s="304">
        <f ca="1" t="shared" ref="K20:K24" si="5">H20-F20</f>
        <v>-78368.9792920193</v>
      </c>
      <c r="L20" s="305">
        <f>1-2445471.34/2470173.07</f>
        <v>0.00999999971661902</v>
      </c>
    </row>
    <row r="21" ht="20" customHeight="1" spans="1:12">
      <c r="A21" s="281"/>
      <c r="B21" s="289" t="s">
        <v>38</v>
      </c>
      <c r="C21" s="277" t="s">
        <v>35</v>
      </c>
      <c r="D21" s="288">
        <f>结算审核表!D100</f>
        <v>1958156.02</v>
      </c>
      <c r="E21" s="288"/>
      <c r="F21" s="288">
        <f>结算审核表!I100</f>
        <v>1796324.58</v>
      </c>
      <c r="G21" s="288"/>
      <c r="H21" s="288">
        <f>结算审核表!N100</f>
        <v>1796324.58</v>
      </c>
      <c r="I21" s="288"/>
      <c r="J21" s="306">
        <f t="shared" si="4"/>
        <v>-161831.44</v>
      </c>
      <c r="K21" s="306">
        <f t="shared" si="5"/>
        <v>0</v>
      </c>
      <c r="L21" s="307" t="s">
        <v>39</v>
      </c>
    </row>
    <row r="22" ht="20" customHeight="1" spans="1:12">
      <c r="A22" s="290"/>
      <c r="B22" s="289" t="s">
        <v>40</v>
      </c>
      <c r="C22" s="277" t="s">
        <v>35</v>
      </c>
      <c r="D22" s="288">
        <f>结算审核表!D101</f>
        <v>106371.11</v>
      </c>
      <c r="E22" s="288"/>
      <c r="F22" s="288">
        <f>结算审核表!I101</f>
        <v>35453.49</v>
      </c>
      <c r="G22" s="288"/>
      <c r="H22" s="288">
        <f>结算审核表!N101</f>
        <v>35453.49</v>
      </c>
      <c r="I22" s="288"/>
      <c r="J22" s="306">
        <f t="shared" si="4"/>
        <v>-70917.62</v>
      </c>
      <c r="K22" s="306">
        <f t="shared" si="5"/>
        <v>0</v>
      </c>
      <c r="L22" s="308"/>
    </row>
    <row r="23" ht="31.5" spans="1:12">
      <c r="A23" s="290"/>
      <c r="B23" s="289" t="s">
        <v>41</v>
      </c>
      <c r="C23" s="277" t="s">
        <v>35</v>
      </c>
      <c r="D23" s="291">
        <f>结算审核表!D102</f>
        <v>4056.4594</v>
      </c>
      <c r="E23" s="292"/>
      <c r="F23" s="291">
        <f>结算审核表!I102</f>
        <v>0</v>
      </c>
      <c r="G23" s="292"/>
      <c r="H23" s="291">
        <f ca="1">结算审核表!N102</f>
        <v>5833.69941707981</v>
      </c>
      <c r="I23" s="292"/>
      <c r="J23" s="306">
        <f ca="1" t="shared" si="4"/>
        <v>1777.24001707981</v>
      </c>
      <c r="K23" s="306">
        <f ca="1" t="shared" si="5"/>
        <v>5833.69941707981</v>
      </c>
      <c r="L23" s="309" t="s">
        <v>42</v>
      </c>
    </row>
    <row r="24" ht="30" customHeight="1" spans="1:12">
      <c r="A24" s="290"/>
      <c r="B24" s="293" t="s">
        <v>43</v>
      </c>
      <c r="C24" s="287"/>
      <c r="D24" s="288">
        <f>结算审核表!D103</f>
        <v>401589</v>
      </c>
      <c r="E24" s="288"/>
      <c r="F24" s="288">
        <f>结算审核表!I103</f>
        <v>661739</v>
      </c>
      <c r="G24" s="288"/>
      <c r="H24" s="288">
        <f ca="1">结算审核表!N103</f>
        <v>577536</v>
      </c>
      <c r="I24" s="288"/>
      <c r="J24" s="306">
        <f ca="1" t="shared" si="4"/>
        <v>175947</v>
      </c>
      <c r="K24" s="306">
        <f ca="1" t="shared" si="5"/>
        <v>-84203</v>
      </c>
      <c r="L24" s="305">
        <f ca="1">K24/F24</f>
        <v>-0.127245031651452</v>
      </c>
    </row>
    <row r="26" spans="5:5">
      <c r="E26" s="294"/>
    </row>
    <row r="28" spans="5:5">
      <c r="E28" s="269"/>
    </row>
  </sheetData>
  <mergeCells count="29">
    <mergeCell ref="A1:L1"/>
    <mergeCell ref="A2:L2"/>
    <mergeCell ref="D3:E3"/>
    <mergeCell ref="F3:G3"/>
    <mergeCell ref="H3:I3"/>
    <mergeCell ref="J3:K3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A3:A4"/>
    <mergeCell ref="B3:B4"/>
    <mergeCell ref="C3:C4"/>
    <mergeCell ref="L3:L4"/>
    <mergeCell ref="L21:L22"/>
  </mergeCells>
  <printOptions horizontalCentered="1"/>
  <pageMargins left="0.314583333333333" right="0.275" top="0.393055555555556" bottom="0.708333333333333" header="0.196527777777778" footer="0.432638888888889"/>
  <pageSetup paperSize="9" scale="92" fitToHeight="0" orientation="landscape" horizontalDpi="600"/>
  <headerFooter>
    <oddHeader>&amp;R&amp;"仿宋"&amp;10
&amp;B
第 &amp;P 页，共 &amp;N 页</oddHeader>
    <oddFooter>&amp;L&amp;"楷体"&amp;12&amp;B建设单位：&amp;C&amp;"楷体"&amp;12&amp;B施工单位：&amp;R&amp;"楷体"&amp;12&amp;B审核单位：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15"/>
  <sheetViews>
    <sheetView zoomScale="90" zoomScaleNormal="90" workbookViewId="0">
      <pane ySplit="5" topLeftCell="A90" activePane="bottomLeft" state="frozen"/>
      <selection/>
      <selection pane="bottomLeft" activeCell="U93" sqref="U93"/>
    </sheetView>
  </sheetViews>
  <sheetFormatPr defaultColWidth="9" defaultRowHeight="14.25"/>
  <cols>
    <col min="1" max="1" width="5.25" style="97" customWidth="1"/>
    <col min="2" max="2" width="32.75" style="99" customWidth="1"/>
    <col min="3" max="3" width="5" style="190" customWidth="1"/>
    <col min="4" max="6" width="8.625" style="191" customWidth="1"/>
    <col min="7" max="7" width="10.125" style="191" customWidth="1"/>
    <col min="8" max="8" width="9.5" style="192" customWidth="1"/>
    <col min="9" max="11" width="9.75" style="192" customWidth="1"/>
    <col min="12" max="12" width="10.25" style="192" customWidth="1"/>
    <col min="13" max="13" width="9.75" style="192" customWidth="1"/>
    <col min="14" max="14" width="9.75" style="193" customWidth="1"/>
    <col min="15" max="16" width="8.375" style="193" customWidth="1"/>
    <col min="17" max="17" width="10.75" style="193" customWidth="1"/>
    <col min="18" max="18" width="8.375" style="193" customWidth="1"/>
    <col min="19" max="19" width="12" style="194" customWidth="1"/>
    <col min="20" max="20" width="12.375" style="194" customWidth="1"/>
    <col min="21" max="21" width="13.625" style="195" customWidth="1"/>
    <col min="22" max="22" width="9" style="98" customWidth="1"/>
    <col min="23" max="23" width="15.375" style="98" customWidth="1"/>
    <col min="24" max="24" width="10.125" style="98" hidden="1" customWidth="1"/>
    <col min="25" max="25" width="9.25" style="98" hidden="1" customWidth="1"/>
    <col min="26" max="16384" width="9" style="98"/>
  </cols>
  <sheetData>
    <row r="1" s="92" customFormat="1" ht="36" customHeight="1" spans="1:21">
      <c r="A1" s="196" t="s">
        <v>44</v>
      </c>
      <c r="B1" s="197"/>
      <c r="C1" s="198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214"/>
      <c r="O1" s="214"/>
      <c r="P1" s="214"/>
      <c r="Q1" s="214"/>
      <c r="R1" s="214"/>
      <c r="S1" s="226"/>
      <c r="T1" s="226"/>
      <c r="U1" s="227"/>
    </row>
    <row r="2" s="92" customFormat="1" ht="16.5" customHeight="1" spans="1:21">
      <c r="A2" s="200" t="s">
        <v>22</v>
      </c>
      <c r="B2" s="200"/>
      <c r="C2" s="200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28"/>
      <c r="T2" s="228"/>
      <c r="U2" s="229"/>
    </row>
    <row r="3" s="188" customFormat="1" ht="16.5" customHeight="1" spans="1:21">
      <c r="A3" s="202" t="s">
        <v>45</v>
      </c>
      <c r="B3" s="203" t="s">
        <v>24</v>
      </c>
      <c r="C3" s="203" t="s">
        <v>25</v>
      </c>
      <c r="D3" s="204" t="s">
        <v>46</v>
      </c>
      <c r="E3" s="204"/>
      <c r="F3" s="204"/>
      <c r="G3" s="204"/>
      <c r="H3" s="204"/>
      <c r="I3" s="204" t="s">
        <v>47</v>
      </c>
      <c r="J3" s="204"/>
      <c r="K3" s="204"/>
      <c r="L3" s="204"/>
      <c r="M3" s="204"/>
      <c r="N3" s="204" t="s">
        <v>48</v>
      </c>
      <c r="O3" s="204"/>
      <c r="P3" s="204"/>
      <c r="Q3" s="204"/>
      <c r="R3" s="204"/>
      <c r="S3" s="204" t="s">
        <v>29</v>
      </c>
      <c r="T3" s="204"/>
      <c r="U3" s="230" t="s">
        <v>49</v>
      </c>
    </row>
    <row r="4" s="188" customFormat="1" ht="16.5" customHeight="1" spans="1:21">
      <c r="A4" s="202"/>
      <c r="B4" s="203"/>
      <c r="C4" s="203"/>
      <c r="D4" s="205" t="s">
        <v>50</v>
      </c>
      <c r="E4" s="204" t="s">
        <v>51</v>
      </c>
      <c r="F4" s="204"/>
      <c r="G4" s="204" t="s">
        <v>52</v>
      </c>
      <c r="H4" s="204"/>
      <c r="I4" s="205" t="s">
        <v>50</v>
      </c>
      <c r="J4" s="204" t="s">
        <v>51</v>
      </c>
      <c r="K4" s="204"/>
      <c r="L4" s="204" t="s">
        <v>52</v>
      </c>
      <c r="M4" s="204"/>
      <c r="N4" s="205" t="s">
        <v>50</v>
      </c>
      <c r="O4" s="204" t="s">
        <v>51</v>
      </c>
      <c r="P4" s="204"/>
      <c r="Q4" s="204" t="s">
        <v>52</v>
      </c>
      <c r="R4" s="204"/>
      <c r="S4" s="205" t="s">
        <v>53</v>
      </c>
      <c r="T4" s="205" t="s">
        <v>54</v>
      </c>
      <c r="U4" s="230"/>
    </row>
    <row r="5" s="188" customFormat="1" ht="16.5" customHeight="1" spans="1:21">
      <c r="A5" s="202"/>
      <c r="B5" s="203"/>
      <c r="C5" s="203"/>
      <c r="D5" s="205"/>
      <c r="E5" s="204" t="s">
        <v>31</v>
      </c>
      <c r="F5" s="204" t="s">
        <v>32</v>
      </c>
      <c r="G5" s="204" t="s">
        <v>31</v>
      </c>
      <c r="H5" s="204" t="s">
        <v>32</v>
      </c>
      <c r="I5" s="205"/>
      <c r="J5" s="204" t="s">
        <v>31</v>
      </c>
      <c r="K5" s="204" t="s">
        <v>32</v>
      </c>
      <c r="L5" s="204" t="s">
        <v>31</v>
      </c>
      <c r="M5" s="204" t="s">
        <v>32</v>
      </c>
      <c r="N5" s="205"/>
      <c r="O5" s="204" t="s">
        <v>31</v>
      </c>
      <c r="P5" s="204" t="s">
        <v>32</v>
      </c>
      <c r="Q5" s="204" t="s">
        <v>31</v>
      </c>
      <c r="R5" s="204" t="s">
        <v>32</v>
      </c>
      <c r="S5" s="205"/>
      <c r="T5" s="205"/>
      <c r="U5" s="230"/>
    </row>
    <row r="6" s="189" customFormat="1" ht="16.5" customHeight="1" spans="1:21">
      <c r="A6" s="206"/>
      <c r="B6" s="207" t="s">
        <v>55</v>
      </c>
      <c r="C6" s="207"/>
      <c r="D6" s="208"/>
      <c r="E6" s="208"/>
      <c r="F6" s="208"/>
      <c r="G6" s="208">
        <v>54245.94</v>
      </c>
      <c r="H6" s="208"/>
      <c r="I6" s="215"/>
      <c r="J6" s="216"/>
      <c r="K6" s="217"/>
      <c r="L6" s="208">
        <f>516174.57+L63</f>
        <v>526653.921</v>
      </c>
      <c r="M6" s="208"/>
      <c r="N6" s="218"/>
      <c r="O6" s="217"/>
      <c r="P6" s="217"/>
      <c r="Q6" s="208">
        <f ca="1" t="shared" ref="Q6:T6" si="0">Q7+Q20+Q30+Q40+Q44+Q49+Q52+Q55+Q63</f>
        <v>449977.902059332</v>
      </c>
      <c r="R6" s="231"/>
      <c r="S6" s="208">
        <f ca="1" t="shared" si="0"/>
        <v>395731.962059332</v>
      </c>
      <c r="T6" s="208">
        <f ca="1" t="shared" si="0"/>
        <v>-76676.0239406683</v>
      </c>
      <c r="U6" s="232"/>
    </row>
    <row r="7" s="96" customFormat="1" ht="16.5" customHeight="1" spans="1:21">
      <c r="A7" s="209" t="str">
        <f>工程量核对表!A6</f>
        <v>一</v>
      </c>
      <c r="B7" s="210" t="str">
        <f>工程量核对表!B6</f>
        <v>调节池工程</v>
      </c>
      <c r="C7" s="179"/>
      <c r="D7" s="131"/>
      <c r="E7" s="131"/>
      <c r="F7" s="131"/>
      <c r="G7" s="131">
        <v>54245.94</v>
      </c>
      <c r="H7" s="131"/>
      <c r="I7" s="219"/>
      <c r="J7" s="220"/>
      <c r="K7" s="221"/>
      <c r="L7" s="131">
        <v>76988.65</v>
      </c>
      <c r="M7" s="131"/>
      <c r="N7" s="222"/>
      <c r="O7" s="221"/>
      <c r="P7" s="221"/>
      <c r="Q7" s="131">
        <f ca="1" t="shared" ref="Q7:T7" si="1">SUM(Q8:Q19)</f>
        <v>65595.6344584691</v>
      </c>
      <c r="R7" s="233"/>
      <c r="S7" s="131">
        <f ca="1" t="shared" si="1"/>
        <v>11349.6944584691</v>
      </c>
      <c r="T7" s="131">
        <f ca="1" t="shared" si="1"/>
        <v>-11393.0305415309</v>
      </c>
      <c r="U7" s="234"/>
    </row>
    <row r="8" s="96" customFormat="1" ht="16.5" customHeight="1" spans="1:21">
      <c r="A8" s="211">
        <f>工程量核对表!A7</f>
        <v>1</v>
      </c>
      <c r="B8" s="212" t="str">
        <f>工程量核对表!B7</f>
        <v>土方开挖</v>
      </c>
      <c r="C8" s="137" t="str">
        <f>工程量核对表!C7</f>
        <v>m3</v>
      </c>
      <c r="D8" s="213">
        <v>153.0751</v>
      </c>
      <c r="E8" s="213">
        <v>19.7</v>
      </c>
      <c r="F8" s="213"/>
      <c r="G8" s="213">
        <v>3015.58</v>
      </c>
      <c r="H8" s="213"/>
      <c r="I8" s="213">
        <v>41.89</v>
      </c>
      <c r="J8" s="213">
        <v>19.7</v>
      </c>
      <c r="K8" s="223"/>
      <c r="L8" s="213">
        <v>825.205</v>
      </c>
      <c r="M8" s="213"/>
      <c r="N8" s="224">
        <f ca="1">工程量核对表!F7</f>
        <v>41.40420956</v>
      </c>
      <c r="O8" s="223">
        <v>20.63</v>
      </c>
      <c r="P8" s="223"/>
      <c r="Q8" s="213">
        <f ca="1">N8*O8</f>
        <v>854.1688432228</v>
      </c>
      <c r="R8" s="235"/>
      <c r="S8" s="225">
        <f ca="1">Q8-G8</f>
        <v>-2161.4111567772</v>
      </c>
      <c r="T8" s="224">
        <f ca="1">Q8-L8</f>
        <v>28.9638432228001</v>
      </c>
      <c r="U8" s="236" t="s">
        <v>46</v>
      </c>
    </row>
    <row r="9" s="96" customFormat="1" ht="16.5" customHeight="1" spans="1:21">
      <c r="A9" s="211">
        <f>工程量核对表!A8</f>
        <v>2</v>
      </c>
      <c r="B9" s="212" t="str">
        <f>工程量核对表!B8</f>
        <v>石方开挖</v>
      </c>
      <c r="C9" s="137" t="str">
        <f>工程量核对表!C8</f>
        <v>m3</v>
      </c>
      <c r="D9" s="213">
        <v>102.05</v>
      </c>
      <c r="E9" s="213">
        <v>88.98</v>
      </c>
      <c r="F9" s="213"/>
      <c r="G9" s="213">
        <v>9080.41</v>
      </c>
      <c r="H9" s="213"/>
      <c r="I9" s="213">
        <v>167.56</v>
      </c>
      <c r="J9" s="213">
        <v>88.98</v>
      </c>
      <c r="K9" s="223"/>
      <c r="L9" s="213">
        <v>14909.05</v>
      </c>
      <c r="M9" s="213"/>
      <c r="N9" s="224">
        <f ca="1">工程量核对表!F8</f>
        <v>165.61683824</v>
      </c>
      <c r="O9" s="223">
        <v>91.22</v>
      </c>
      <c r="P9" s="223"/>
      <c r="Q9" s="213">
        <f ca="1" t="shared" ref="Q9:Q32" si="2">N9*O9</f>
        <v>15107.5679842528</v>
      </c>
      <c r="R9" s="235"/>
      <c r="S9" s="225">
        <f ca="1" t="shared" ref="S9:S19" si="3">Q9-G9</f>
        <v>6027.1579842528</v>
      </c>
      <c r="T9" s="224">
        <f ca="1" t="shared" ref="T9:T19" si="4">Q9-L9</f>
        <v>198.517984252803</v>
      </c>
      <c r="U9" s="236" t="s">
        <v>46</v>
      </c>
    </row>
    <row r="10" s="97" customFormat="1" ht="16.5" customHeight="1" spans="1:21">
      <c r="A10" s="211">
        <f>工程量核对表!A9</f>
        <v>3</v>
      </c>
      <c r="B10" s="212" t="str">
        <f>工程量核对表!B9</f>
        <v>土石方回填</v>
      </c>
      <c r="C10" s="137" t="str">
        <f>工程量核对表!C9</f>
        <v>m3</v>
      </c>
      <c r="D10" s="213">
        <v>68.8837</v>
      </c>
      <c r="E10" s="213">
        <v>27.16</v>
      </c>
      <c r="F10" s="213"/>
      <c r="G10" s="213">
        <v>1870.88</v>
      </c>
      <c r="H10" s="213"/>
      <c r="I10" s="213">
        <v>36.6</v>
      </c>
      <c r="J10" s="213">
        <v>27.16</v>
      </c>
      <c r="K10" s="223"/>
      <c r="L10" s="213">
        <v>994.07</v>
      </c>
      <c r="M10" s="213"/>
      <c r="N10" s="224">
        <f ca="1">工程量核对表!F9</f>
        <v>33.876989</v>
      </c>
      <c r="O10" s="223">
        <v>24.91</v>
      </c>
      <c r="P10" s="223"/>
      <c r="Q10" s="213">
        <f ca="1" t="shared" si="2"/>
        <v>843.87579599</v>
      </c>
      <c r="R10" s="235"/>
      <c r="S10" s="225">
        <f ca="1" t="shared" si="3"/>
        <v>-1027.00420401</v>
      </c>
      <c r="T10" s="224">
        <f ca="1" t="shared" si="4"/>
        <v>-150.19420401</v>
      </c>
      <c r="U10" s="236" t="s">
        <v>46</v>
      </c>
    </row>
    <row r="11" s="97" customFormat="1" ht="16.5" customHeight="1" spans="1:21">
      <c r="A11" s="211">
        <f>工程量核对表!A10</f>
        <v>4</v>
      </c>
      <c r="B11" s="212" t="str">
        <f>工程量核对表!B10</f>
        <v>底板C20砼 2级配 32.5水泥 粒径40mm</v>
      </c>
      <c r="C11" s="137" t="str">
        <f>工程量核对表!C10</f>
        <v>m3</v>
      </c>
      <c r="D11" s="213">
        <v>9.5377</v>
      </c>
      <c r="E11" s="213">
        <v>532.15</v>
      </c>
      <c r="F11" s="213"/>
      <c r="G11" s="213">
        <v>5075.49</v>
      </c>
      <c r="H11" s="213"/>
      <c r="I11" s="213">
        <v>22.07</v>
      </c>
      <c r="J11" s="213">
        <v>532.15</v>
      </c>
      <c r="K11" s="223"/>
      <c r="L11" s="213">
        <v>11742.91</v>
      </c>
      <c r="M11" s="213"/>
      <c r="N11" s="224">
        <f ca="1">工程量核对表!F10</f>
        <v>21.4652912</v>
      </c>
      <c r="O11" s="225">
        <v>520.19</v>
      </c>
      <c r="P11" s="223"/>
      <c r="Q11" s="213">
        <f ca="1" t="shared" si="2"/>
        <v>11166.029829328</v>
      </c>
      <c r="R11" s="235"/>
      <c r="S11" s="225">
        <f ca="1" t="shared" si="3"/>
        <v>6090.539829328</v>
      </c>
      <c r="T11" s="224">
        <f ca="1" t="shared" si="4"/>
        <v>-576.880170671997</v>
      </c>
      <c r="U11" s="236" t="s">
        <v>46</v>
      </c>
    </row>
    <row r="12" s="97" customFormat="1" ht="16.5" customHeight="1" spans="1:21">
      <c r="A12" s="211">
        <f>工程量核对表!A11</f>
        <v>5</v>
      </c>
      <c r="B12" s="212" t="str">
        <f>工程量核对表!B11</f>
        <v>顶板C25砼 2级配 32.5水泥 粒径40mm</v>
      </c>
      <c r="C12" s="137" t="str">
        <f>工程量核对表!C11</f>
        <v>m3</v>
      </c>
      <c r="D12" s="213">
        <v>6.774</v>
      </c>
      <c r="E12" s="213">
        <v>552.15</v>
      </c>
      <c r="F12" s="213"/>
      <c r="G12" s="213">
        <v>3740.26</v>
      </c>
      <c r="H12" s="213"/>
      <c r="I12" s="213">
        <v>12.16</v>
      </c>
      <c r="J12" s="213">
        <v>552.15</v>
      </c>
      <c r="K12" s="223"/>
      <c r="L12" s="213">
        <v>6712.62</v>
      </c>
      <c r="M12" s="213"/>
      <c r="N12" s="224">
        <f ca="1">工程量核对表!F11</f>
        <v>11.8232496</v>
      </c>
      <c r="O12" s="223">
        <v>540.81</v>
      </c>
      <c r="P12" s="223"/>
      <c r="Q12" s="213">
        <f ca="1" t="shared" si="2"/>
        <v>6394.131616176</v>
      </c>
      <c r="R12" s="235"/>
      <c r="S12" s="225">
        <f ca="1" t="shared" si="3"/>
        <v>2653.871616176</v>
      </c>
      <c r="T12" s="224">
        <f ca="1" t="shared" si="4"/>
        <v>-318.488383824</v>
      </c>
      <c r="U12" s="236" t="s">
        <v>46</v>
      </c>
    </row>
    <row r="13" s="97" customFormat="1" ht="16.5" customHeight="1" spans="1:21">
      <c r="A13" s="211">
        <f>工程量核对表!A12</f>
        <v>6</v>
      </c>
      <c r="B13" s="212" t="str">
        <f>工程量核对表!B12</f>
        <v>M7.5砌砖</v>
      </c>
      <c r="C13" s="137" t="str">
        <f>工程量核对表!C12</f>
        <v>m3</v>
      </c>
      <c r="D13" s="213">
        <v>22.3548</v>
      </c>
      <c r="E13" s="213">
        <v>563.85</v>
      </c>
      <c r="F13" s="213"/>
      <c r="G13" s="213">
        <v>12604.75</v>
      </c>
      <c r="H13" s="213"/>
      <c r="I13" s="213">
        <v>21.26</v>
      </c>
      <c r="J13" s="213">
        <v>563.85</v>
      </c>
      <c r="K13" s="223"/>
      <c r="L13" s="213">
        <v>11987.13</v>
      </c>
      <c r="M13" s="213"/>
      <c r="N13" s="224">
        <f ca="1">工程量核对表!F12</f>
        <v>21.259422</v>
      </c>
      <c r="O13" s="223">
        <v>533.69</v>
      </c>
      <c r="P13" s="223"/>
      <c r="Q13" s="213">
        <f ca="1" t="shared" si="2"/>
        <v>11345.94092718</v>
      </c>
      <c r="R13" s="235"/>
      <c r="S13" s="225">
        <f ca="1" t="shared" si="3"/>
        <v>-1258.80907282</v>
      </c>
      <c r="T13" s="224">
        <f ca="1" t="shared" si="4"/>
        <v>-641.189072819998</v>
      </c>
      <c r="U13" s="236" t="s">
        <v>46</v>
      </c>
    </row>
    <row r="14" s="97" customFormat="1" ht="16.5" customHeight="1" spans="1:21">
      <c r="A14" s="211">
        <f>工程量核对表!A13</f>
        <v>7</v>
      </c>
      <c r="B14" s="212" t="str">
        <f>工程量核对表!B13</f>
        <v>木模制安</v>
      </c>
      <c r="C14" s="137" t="str">
        <f>工程量核对表!C13</f>
        <v>m2</v>
      </c>
      <c r="D14" s="213">
        <v>64.6352</v>
      </c>
      <c r="E14" s="213">
        <v>92.63</v>
      </c>
      <c r="F14" s="213"/>
      <c r="G14" s="213">
        <v>5987.16</v>
      </c>
      <c r="H14" s="213"/>
      <c r="I14" s="213">
        <v>118.04</v>
      </c>
      <c r="J14" s="213">
        <v>92.63</v>
      </c>
      <c r="K14" s="223"/>
      <c r="L14" s="213">
        <v>10934.41</v>
      </c>
      <c r="M14" s="213"/>
      <c r="N14" s="224">
        <f ca="1">工程量核对表!F13</f>
        <v>79.10684</v>
      </c>
      <c r="O14" s="223">
        <v>94.93</v>
      </c>
      <c r="P14" s="223"/>
      <c r="Q14" s="213">
        <f ca="1" t="shared" si="2"/>
        <v>7509.6123212</v>
      </c>
      <c r="R14" s="235"/>
      <c r="S14" s="225">
        <f ca="1" t="shared" si="3"/>
        <v>1522.4523212</v>
      </c>
      <c r="T14" s="224">
        <f ca="1" t="shared" si="4"/>
        <v>-3424.7976788</v>
      </c>
      <c r="U14" s="236" t="s">
        <v>46</v>
      </c>
    </row>
    <row r="15" s="97" customFormat="1" ht="16.5" customHeight="1" spans="1:21">
      <c r="A15" s="211">
        <f>工程量核对表!A14</f>
        <v>8</v>
      </c>
      <c r="B15" s="212" t="str">
        <f>工程量核对表!B14</f>
        <v>钢筋制安</v>
      </c>
      <c r="C15" s="137" t="str">
        <f>工程量核对表!C14</f>
        <v>kg</v>
      </c>
      <c r="D15" s="213">
        <v>1328.2997</v>
      </c>
      <c r="E15" s="213">
        <v>5.74</v>
      </c>
      <c r="F15" s="213"/>
      <c r="G15" s="213">
        <v>7624.44</v>
      </c>
      <c r="H15" s="213"/>
      <c r="I15" s="213">
        <v>2525.5</v>
      </c>
      <c r="J15" s="213">
        <v>5.74</v>
      </c>
      <c r="K15" s="223"/>
      <c r="L15" s="213">
        <v>14496.38</v>
      </c>
      <c r="M15" s="213"/>
      <c r="N15" s="224">
        <f ca="1">工程量核对表!F14</f>
        <v>1376.3381</v>
      </c>
      <c r="O15" s="223">
        <v>5.99</v>
      </c>
      <c r="P15" s="223"/>
      <c r="Q15" s="213">
        <f ca="1" t="shared" si="2"/>
        <v>8244.265219</v>
      </c>
      <c r="R15" s="235"/>
      <c r="S15" s="225">
        <f ca="1" t="shared" si="3"/>
        <v>619.825219000001</v>
      </c>
      <c r="T15" s="224">
        <f ca="1" t="shared" si="4"/>
        <v>-6252.114781</v>
      </c>
      <c r="U15" s="236" t="s">
        <v>46</v>
      </c>
    </row>
    <row r="16" s="97" customFormat="1" ht="16.5" customHeight="1" spans="1:21">
      <c r="A16" s="211">
        <f>工程量核对表!A15</f>
        <v>9</v>
      </c>
      <c r="B16" s="212" t="str">
        <f>工程量核对表!B15</f>
        <v>M10沙浆抹面</v>
      </c>
      <c r="C16" s="137" t="str">
        <f>工程量核对表!C15</f>
        <v>m2</v>
      </c>
      <c r="D16" s="213">
        <v>92.9438</v>
      </c>
      <c r="E16" s="213">
        <v>16.54</v>
      </c>
      <c r="F16" s="213"/>
      <c r="G16" s="213">
        <v>1537.29</v>
      </c>
      <c r="H16" s="213"/>
      <c r="I16" s="213">
        <v>88.78</v>
      </c>
      <c r="J16" s="213">
        <v>16.54</v>
      </c>
      <c r="K16" s="223"/>
      <c r="L16" s="213">
        <v>1468.36</v>
      </c>
      <c r="M16" s="213"/>
      <c r="N16" s="224">
        <f ca="1">工程量核对表!F15</f>
        <v>88.776</v>
      </c>
      <c r="O16" s="223">
        <v>15.96</v>
      </c>
      <c r="P16" s="223"/>
      <c r="Q16" s="213">
        <f ca="1" t="shared" si="2"/>
        <v>1416.86496</v>
      </c>
      <c r="R16" s="235"/>
      <c r="S16" s="225">
        <f ca="1" t="shared" si="3"/>
        <v>-120.42504</v>
      </c>
      <c r="T16" s="224">
        <f ca="1" t="shared" si="4"/>
        <v>-51.4950399999998</v>
      </c>
      <c r="U16" s="236" t="s">
        <v>46</v>
      </c>
    </row>
    <row r="17" s="97" customFormat="1" ht="16.5" customHeight="1" spans="1:21">
      <c r="A17" s="211">
        <f>工程量核对表!A16</f>
        <v>10</v>
      </c>
      <c r="B17" s="212" t="str">
        <f>工程量核对表!B16</f>
        <v>墙面瓷砖粘贴</v>
      </c>
      <c r="C17" s="137" t="str">
        <f>工程量核对表!C16</f>
        <v>m2</v>
      </c>
      <c r="D17" s="213">
        <v>11.8165</v>
      </c>
      <c r="E17" s="213">
        <v>101.56</v>
      </c>
      <c r="F17" s="213"/>
      <c r="G17" s="213">
        <v>1200.08</v>
      </c>
      <c r="H17" s="213"/>
      <c r="I17" s="213">
        <v>23.81</v>
      </c>
      <c r="J17" s="213">
        <v>101.56</v>
      </c>
      <c r="K17" s="223"/>
      <c r="L17" s="213">
        <v>2418.53</v>
      </c>
      <c r="M17" s="213"/>
      <c r="N17" s="224">
        <f ca="1">工程量核对表!F16</f>
        <v>23.81376</v>
      </c>
      <c r="O17" s="225">
        <f>E17/1.11*1.0319</f>
        <v>94.4142018018018</v>
      </c>
      <c r="P17" s="223"/>
      <c r="Q17" s="213">
        <f ca="1" t="shared" si="2"/>
        <v>2248.35714229968</v>
      </c>
      <c r="R17" s="235"/>
      <c r="S17" s="225">
        <f ca="1" t="shared" si="3"/>
        <v>1048.27714229968</v>
      </c>
      <c r="T17" s="224">
        <f ca="1" t="shared" si="4"/>
        <v>-170.172857700325</v>
      </c>
      <c r="U17" s="236" t="s">
        <v>46</v>
      </c>
    </row>
    <row r="18" s="97" customFormat="1" ht="16.5" customHeight="1" spans="1:21">
      <c r="A18" s="211">
        <f>工程量核对表!A17</f>
        <v>11</v>
      </c>
      <c r="B18" s="212" t="str">
        <f>工程量核对表!B17</f>
        <v>通气进人孔</v>
      </c>
      <c r="C18" s="137" t="str">
        <f>工程量核对表!C17</f>
        <v>套</v>
      </c>
      <c r="D18" s="213">
        <v>1</v>
      </c>
      <c r="E18" s="213">
        <v>500</v>
      </c>
      <c r="F18" s="213"/>
      <c r="G18" s="213">
        <v>500</v>
      </c>
      <c r="H18" s="213"/>
      <c r="I18" s="213">
        <v>1</v>
      </c>
      <c r="J18" s="213">
        <v>500</v>
      </c>
      <c r="K18" s="223"/>
      <c r="L18" s="213">
        <v>500</v>
      </c>
      <c r="M18" s="213"/>
      <c r="N18" s="224">
        <f ca="1">工程量核对表!F17</f>
        <v>1</v>
      </c>
      <c r="O18" s="225">
        <f>E18/1.11*1.0319</f>
        <v>464.81981981982</v>
      </c>
      <c r="P18" s="223"/>
      <c r="Q18" s="213">
        <f ca="1" t="shared" si="2"/>
        <v>464.81981981982</v>
      </c>
      <c r="R18" s="235"/>
      <c r="S18" s="225">
        <f ca="1" t="shared" si="3"/>
        <v>-35.18018018018</v>
      </c>
      <c r="T18" s="224">
        <f ca="1" t="shared" si="4"/>
        <v>-35.18018018018</v>
      </c>
      <c r="U18" s="236" t="s">
        <v>46</v>
      </c>
    </row>
    <row r="19" s="96" customFormat="1" ht="16.5" customHeight="1" spans="1:21">
      <c r="A19" s="211">
        <f>工程量核对表!A18</f>
        <v>12</v>
      </c>
      <c r="B19" s="212" t="str">
        <f>工程量核对表!B18</f>
        <v>种草绿化</v>
      </c>
      <c r="C19" s="137" t="str">
        <f>工程量核对表!C18</f>
        <v>m2</v>
      </c>
      <c r="D19" s="213">
        <v>50.24</v>
      </c>
      <c r="E19" s="213">
        <v>40</v>
      </c>
      <c r="F19" s="213"/>
      <c r="G19" s="213">
        <v>2009.6</v>
      </c>
      <c r="H19" s="213"/>
      <c r="I19" s="213"/>
      <c r="J19" s="213">
        <v>40</v>
      </c>
      <c r="K19" s="223"/>
      <c r="L19" s="213"/>
      <c r="M19" s="213"/>
      <c r="N19" s="224">
        <f ca="1">工程量核对表!F18</f>
        <v>0</v>
      </c>
      <c r="O19" s="225">
        <f>E19/1.11*1.0319</f>
        <v>37.1855855855856</v>
      </c>
      <c r="P19" s="223"/>
      <c r="Q19" s="213">
        <f ca="1" t="shared" si="2"/>
        <v>0</v>
      </c>
      <c r="R19" s="235"/>
      <c r="S19" s="225">
        <f ca="1" t="shared" si="3"/>
        <v>-2009.6</v>
      </c>
      <c r="T19" s="224">
        <f ca="1" t="shared" si="4"/>
        <v>0</v>
      </c>
      <c r="U19" s="236" t="s">
        <v>46</v>
      </c>
    </row>
    <row r="20" s="97" customFormat="1" ht="16.5" customHeight="1" spans="1:21">
      <c r="A20" s="209" t="str">
        <f>工程量核对表!A19</f>
        <v>二</v>
      </c>
      <c r="B20" s="210" t="str">
        <f>工程量核对表!B19</f>
        <v>新增围墙工程</v>
      </c>
      <c r="C20" s="179" t="str">
        <f>工程量核对表!C19</f>
        <v/>
      </c>
      <c r="D20" s="131"/>
      <c r="E20" s="131"/>
      <c r="F20" s="131"/>
      <c r="G20" s="131"/>
      <c r="H20" s="131"/>
      <c r="I20" s="131"/>
      <c r="J20" s="221"/>
      <c r="K20" s="221"/>
      <c r="L20" s="131">
        <v>152084.91</v>
      </c>
      <c r="M20" s="131"/>
      <c r="N20" s="222"/>
      <c r="O20" s="221"/>
      <c r="P20" s="221"/>
      <c r="Q20" s="131">
        <f ca="1" t="shared" ref="Q20:T20" si="5">SUM(Q21:Q29)</f>
        <v>129790.783869224</v>
      </c>
      <c r="R20" s="233"/>
      <c r="S20" s="131">
        <f ca="1" t="shared" si="5"/>
        <v>129790.783869224</v>
      </c>
      <c r="T20" s="131">
        <f ca="1" t="shared" si="5"/>
        <v>-22294.1261307761</v>
      </c>
      <c r="U20" s="234"/>
    </row>
    <row r="21" s="97" customFormat="1" ht="16.5" customHeight="1" spans="1:21">
      <c r="A21" s="211">
        <f>工程量核对表!A20</f>
        <v>1</v>
      </c>
      <c r="B21" s="212" t="str">
        <f>工程量核对表!B20</f>
        <v>土方开挖</v>
      </c>
      <c r="C21" s="137" t="str">
        <f>工程量核对表!C20</f>
        <v>m3</v>
      </c>
      <c r="D21" s="213"/>
      <c r="E21" s="213"/>
      <c r="F21" s="213"/>
      <c r="G21" s="213"/>
      <c r="H21" s="213"/>
      <c r="I21" s="213">
        <v>411.6</v>
      </c>
      <c r="J21" s="223">
        <v>19.7</v>
      </c>
      <c r="K21" s="223"/>
      <c r="L21" s="213">
        <v>8108.58</v>
      </c>
      <c r="M21" s="213"/>
      <c r="N21" s="224">
        <f ca="1">工程量核对表!F20</f>
        <v>341.828</v>
      </c>
      <c r="O21" s="223">
        <v>20.63</v>
      </c>
      <c r="P21" s="223"/>
      <c r="Q21" s="213">
        <f ca="1" t="shared" si="2"/>
        <v>7051.91164</v>
      </c>
      <c r="R21" s="235"/>
      <c r="S21" s="225">
        <f ca="1" t="shared" ref="S21:S29" si="6">Q21-G21</f>
        <v>7051.91164</v>
      </c>
      <c r="T21" s="224">
        <f ca="1" t="shared" ref="T21:T29" si="7">Q21-L21</f>
        <v>-1056.66836</v>
      </c>
      <c r="U21" s="236" t="s">
        <v>46</v>
      </c>
    </row>
    <row r="22" s="97" customFormat="1" ht="16.5" customHeight="1" spans="1:21">
      <c r="A22" s="211">
        <f>工程量核对表!A21</f>
        <v>2</v>
      </c>
      <c r="B22" s="212" t="str">
        <f>工程量核对表!B21</f>
        <v>石方开挖</v>
      </c>
      <c r="C22" s="137" t="str">
        <f>工程量核对表!C21</f>
        <v>m3</v>
      </c>
      <c r="D22" s="213"/>
      <c r="E22" s="213"/>
      <c r="F22" s="213"/>
      <c r="G22" s="213"/>
      <c r="H22" s="213"/>
      <c r="I22" s="213">
        <v>412.3</v>
      </c>
      <c r="J22" s="223">
        <v>88.98</v>
      </c>
      <c r="K22" s="223"/>
      <c r="L22" s="213">
        <v>36686.24</v>
      </c>
      <c r="M22" s="213"/>
      <c r="N22" s="224">
        <f ca="1">工程量核对表!F21</f>
        <v>342.992</v>
      </c>
      <c r="O22" s="223">
        <v>91.22</v>
      </c>
      <c r="P22" s="223"/>
      <c r="Q22" s="213">
        <f ca="1" t="shared" si="2"/>
        <v>31287.73024</v>
      </c>
      <c r="R22" s="235"/>
      <c r="S22" s="225">
        <f ca="1" t="shared" si="6"/>
        <v>31287.73024</v>
      </c>
      <c r="T22" s="224">
        <f ca="1" t="shared" si="7"/>
        <v>-5398.50976</v>
      </c>
      <c r="U22" s="236" t="s">
        <v>46</v>
      </c>
    </row>
    <row r="23" s="97" customFormat="1" ht="22.5" spans="1:21">
      <c r="A23" s="211">
        <f>工程量核对表!A22</f>
        <v>3</v>
      </c>
      <c r="B23" s="212" t="str">
        <f>工程量核对表!B22</f>
        <v>圈梁C25砼 2级配 32.5水泥 粒径40mm</v>
      </c>
      <c r="C23" s="137" t="str">
        <f>工程量核对表!C22</f>
        <v>m3</v>
      </c>
      <c r="D23" s="213"/>
      <c r="E23" s="213"/>
      <c r="F23" s="213"/>
      <c r="G23" s="213"/>
      <c r="H23" s="213"/>
      <c r="I23" s="213">
        <v>6.14</v>
      </c>
      <c r="J23" s="223">
        <v>532.15</v>
      </c>
      <c r="K23" s="223"/>
      <c r="L23" s="213">
        <v>3265.14</v>
      </c>
      <c r="M23" s="213"/>
      <c r="N23" s="224">
        <f ca="1">工程量核对表!F22</f>
        <v>5.999625</v>
      </c>
      <c r="O23" s="225">
        <v>520.19</v>
      </c>
      <c r="P23" s="223"/>
      <c r="Q23" s="213">
        <f ca="1" t="shared" si="2"/>
        <v>3120.94492875</v>
      </c>
      <c r="R23" s="235"/>
      <c r="S23" s="225">
        <f ca="1" t="shared" si="6"/>
        <v>3120.94492875</v>
      </c>
      <c r="T23" s="224">
        <f ca="1" t="shared" si="7"/>
        <v>-144.195071249999</v>
      </c>
      <c r="U23" s="236" t="s">
        <v>56</v>
      </c>
    </row>
    <row r="24" s="97" customFormat="1" ht="22.5" spans="1:21">
      <c r="A24" s="211">
        <f>工程量核对表!A23</f>
        <v>4</v>
      </c>
      <c r="B24" s="212" t="str">
        <f>工程量核对表!B23</f>
        <v>地面硬化C25砼 2级配 32.5水泥 粒径40mm</v>
      </c>
      <c r="C24" s="137" t="str">
        <f>工程量核对表!C23</f>
        <v>m3</v>
      </c>
      <c r="D24" s="213"/>
      <c r="E24" s="213"/>
      <c r="F24" s="213"/>
      <c r="G24" s="213"/>
      <c r="H24" s="213"/>
      <c r="I24" s="213">
        <v>92.07</v>
      </c>
      <c r="J24" s="223">
        <v>532.15</v>
      </c>
      <c r="K24" s="223"/>
      <c r="L24" s="213">
        <v>48997.18</v>
      </c>
      <c r="M24" s="213"/>
      <c r="N24" s="224">
        <f ca="1">工程量核对表!F23</f>
        <v>81.3944072</v>
      </c>
      <c r="O24" s="225">
        <v>520.19</v>
      </c>
      <c r="P24" s="223"/>
      <c r="Q24" s="213">
        <f ca="1" t="shared" si="2"/>
        <v>42340.556681368</v>
      </c>
      <c r="R24" s="235"/>
      <c r="S24" s="225">
        <f ca="1" t="shared" si="6"/>
        <v>42340.556681368</v>
      </c>
      <c r="T24" s="224">
        <f ca="1" t="shared" si="7"/>
        <v>-6656.623318632</v>
      </c>
      <c r="U24" s="236" t="s">
        <v>56</v>
      </c>
    </row>
    <row r="25" s="96" customFormat="1" ht="16.5" customHeight="1" spans="1:21">
      <c r="A25" s="211">
        <f>工程量核对表!A24</f>
        <v>5</v>
      </c>
      <c r="B25" s="212" t="str">
        <f>工程量核对表!B24</f>
        <v>M7.5砌砖</v>
      </c>
      <c r="C25" s="137" t="str">
        <f>工程量核对表!C24</f>
        <v>m3</v>
      </c>
      <c r="D25" s="213"/>
      <c r="E25" s="213"/>
      <c r="F25" s="213"/>
      <c r="G25" s="213"/>
      <c r="H25" s="213"/>
      <c r="I25" s="213">
        <v>27.16</v>
      </c>
      <c r="J25" s="223">
        <v>563.85</v>
      </c>
      <c r="K25" s="223"/>
      <c r="L25" s="213">
        <v>15312.9</v>
      </c>
      <c r="M25" s="213"/>
      <c r="N25" s="224">
        <f ca="1">工程量核对表!F24</f>
        <v>25.88252</v>
      </c>
      <c r="O25" s="223">
        <v>533.69</v>
      </c>
      <c r="P25" s="223"/>
      <c r="Q25" s="213">
        <f ca="1" t="shared" si="2"/>
        <v>13813.2420988</v>
      </c>
      <c r="R25" s="235"/>
      <c r="S25" s="225">
        <f ca="1" t="shared" si="6"/>
        <v>13813.2420988</v>
      </c>
      <c r="T25" s="224">
        <f ca="1" t="shared" si="7"/>
        <v>-1499.6579012</v>
      </c>
      <c r="U25" s="236" t="s">
        <v>46</v>
      </c>
    </row>
    <row r="26" s="97" customFormat="1" ht="16.5" customHeight="1" spans="1:21">
      <c r="A26" s="211">
        <f>工程量核对表!A25</f>
        <v>6</v>
      </c>
      <c r="B26" s="212" t="str">
        <f>工程量核对表!B25</f>
        <v>钢筋制安</v>
      </c>
      <c r="C26" s="137" t="str">
        <f>工程量核对表!C25</f>
        <v>kg</v>
      </c>
      <c r="D26" s="213"/>
      <c r="E26" s="213"/>
      <c r="F26" s="213"/>
      <c r="G26" s="213"/>
      <c r="H26" s="213"/>
      <c r="I26" s="213">
        <v>1078.76</v>
      </c>
      <c r="J26" s="223">
        <v>5.74</v>
      </c>
      <c r="K26" s="223"/>
      <c r="L26" s="213">
        <v>6192.06</v>
      </c>
      <c r="M26" s="213"/>
      <c r="N26" s="224">
        <f ca="1">工程量核对表!F25</f>
        <v>999.1966</v>
      </c>
      <c r="O26" s="223">
        <v>5.99</v>
      </c>
      <c r="P26" s="223"/>
      <c r="Q26" s="213">
        <f ca="1" t="shared" si="2"/>
        <v>5985.187634</v>
      </c>
      <c r="R26" s="235"/>
      <c r="S26" s="225">
        <f ca="1" t="shared" si="6"/>
        <v>5985.187634</v>
      </c>
      <c r="T26" s="224">
        <f ca="1" t="shared" si="7"/>
        <v>-206.872366000001</v>
      </c>
      <c r="U26" s="236" t="s">
        <v>46</v>
      </c>
    </row>
    <row r="27" s="97" customFormat="1" ht="16.5" customHeight="1" spans="1:21">
      <c r="A27" s="211">
        <f>工程量核对表!A26</f>
        <v>7</v>
      </c>
      <c r="B27" s="212" t="str">
        <f>工程量核对表!B26</f>
        <v>墙面瓷砖粘贴</v>
      </c>
      <c r="C27" s="137" t="str">
        <f>工程量核对表!C26</f>
        <v>m2</v>
      </c>
      <c r="D27" s="213"/>
      <c r="E27" s="213"/>
      <c r="F27" s="213"/>
      <c r="G27" s="213"/>
      <c r="H27" s="213"/>
      <c r="I27" s="213">
        <v>237.97</v>
      </c>
      <c r="J27" s="223">
        <v>101.56</v>
      </c>
      <c r="K27" s="223"/>
      <c r="L27" s="213">
        <v>24168.03</v>
      </c>
      <c r="M27" s="213"/>
      <c r="N27" s="224">
        <f ca="1">工程量核对表!F26</f>
        <v>193.0602</v>
      </c>
      <c r="O27" s="225">
        <f>E17/1.11*1.0319</f>
        <v>94.4142018018018</v>
      </c>
      <c r="P27" s="223"/>
      <c r="Q27" s="213">
        <f ca="1" t="shared" si="2"/>
        <v>18227.6246826962</v>
      </c>
      <c r="R27" s="235"/>
      <c r="S27" s="225">
        <f ca="1" t="shared" si="6"/>
        <v>18227.6246826962</v>
      </c>
      <c r="T27" s="224">
        <f ca="1" t="shared" si="7"/>
        <v>-5940.40531730378</v>
      </c>
      <c r="U27" s="236" t="s">
        <v>46</v>
      </c>
    </row>
    <row r="28" s="97" customFormat="1" ht="16.5" customHeight="1" spans="1:21">
      <c r="A28" s="211">
        <f>工程量核对表!A27</f>
        <v>8</v>
      </c>
      <c r="B28" s="212" t="str">
        <f>工程量核对表!B27</f>
        <v>不锈钢大门</v>
      </c>
      <c r="C28" s="137" t="str">
        <f>工程量核对表!C27</f>
        <v>m2</v>
      </c>
      <c r="D28" s="213"/>
      <c r="E28" s="213"/>
      <c r="F28" s="213"/>
      <c r="G28" s="213"/>
      <c r="H28" s="213"/>
      <c r="I28" s="213">
        <v>6.6</v>
      </c>
      <c r="J28" s="223">
        <v>223.97</v>
      </c>
      <c r="K28" s="223"/>
      <c r="L28" s="213">
        <v>1478.2</v>
      </c>
      <c r="M28" s="213"/>
      <c r="N28" s="224">
        <f ca="1">工程量核对表!F27</f>
        <v>6.6</v>
      </c>
      <c r="O28" s="225">
        <f>J28/1.11*1.0319</f>
        <v>208.21139009009</v>
      </c>
      <c r="P28" s="223"/>
      <c r="Q28" s="213">
        <f ca="1" t="shared" si="2"/>
        <v>1374.19517459459</v>
      </c>
      <c r="R28" s="235"/>
      <c r="S28" s="225">
        <f ca="1" t="shared" si="6"/>
        <v>1374.19517459459</v>
      </c>
      <c r="T28" s="224">
        <f ca="1" t="shared" si="7"/>
        <v>-104.004825405406</v>
      </c>
      <c r="U28" s="236" t="s">
        <v>57</v>
      </c>
    </row>
    <row r="29" s="97" customFormat="1" ht="16.5" customHeight="1" spans="1:21">
      <c r="A29" s="211">
        <f>工程量核对表!A28</f>
        <v>9</v>
      </c>
      <c r="B29" s="212" t="str">
        <f>工程量核对表!B28</f>
        <v>不锈钢栏杆</v>
      </c>
      <c r="C29" s="137" t="str">
        <f>工程量核对表!C28</f>
        <v>m2</v>
      </c>
      <c r="D29" s="213"/>
      <c r="E29" s="213"/>
      <c r="F29" s="213"/>
      <c r="G29" s="213"/>
      <c r="H29" s="213"/>
      <c r="I29" s="213">
        <v>35.17</v>
      </c>
      <c r="J29" s="223">
        <v>223.97</v>
      </c>
      <c r="K29" s="223"/>
      <c r="L29" s="213">
        <v>7876.58</v>
      </c>
      <c r="M29" s="213"/>
      <c r="N29" s="224">
        <f ca="1">工程量核对表!F28</f>
        <v>31.6476</v>
      </c>
      <c r="O29" s="225">
        <f>J29/1.11*1.0319</f>
        <v>208.21139009009</v>
      </c>
      <c r="P29" s="223"/>
      <c r="Q29" s="213">
        <f ca="1" t="shared" si="2"/>
        <v>6589.39078901513</v>
      </c>
      <c r="R29" s="235"/>
      <c r="S29" s="225">
        <f ca="1" t="shared" si="6"/>
        <v>6589.39078901513</v>
      </c>
      <c r="T29" s="224">
        <f ca="1" t="shared" si="7"/>
        <v>-1287.18921098487</v>
      </c>
      <c r="U29" s="236" t="s">
        <v>57</v>
      </c>
    </row>
    <row r="30" s="97" customFormat="1" ht="16.5" customHeight="1" spans="1:21">
      <c r="A30" s="209" t="str">
        <f>工程量核对表!A29</f>
        <v>三</v>
      </c>
      <c r="B30" s="210" t="str">
        <f>工程量核对表!B29</f>
        <v>新增管理房工程</v>
      </c>
      <c r="C30" s="179" t="str">
        <f>工程量核对表!C29</f>
        <v/>
      </c>
      <c r="D30" s="131"/>
      <c r="E30" s="131"/>
      <c r="F30" s="131"/>
      <c r="G30" s="131"/>
      <c r="H30" s="131"/>
      <c r="I30" s="131"/>
      <c r="J30" s="221"/>
      <c r="K30" s="221"/>
      <c r="L30" s="131">
        <v>33665.95</v>
      </c>
      <c r="M30" s="131"/>
      <c r="N30" s="222"/>
      <c r="O30" s="221"/>
      <c r="P30" s="221"/>
      <c r="Q30" s="131">
        <f ca="1" t="shared" ref="Q30:T30" si="8">SUM(Q31:Q39)</f>
        <v>29742.0662681683</v>
      </c>
      <c r="R30" s="233"/>
      <c r="S30" s="131">
        <f ca="1" t="shared" si="8"/>
        <v>29742.0662681683</v>
      </c>
      <c r="T30" s="131">
        <f ca="1" t="shared" si="8"/>
        <v>-3923.88373183171</v>
      </c>
      <c r="U30" s="234"/>
    </row>
    <row r="31" s="97" customFormat="1" ht="22.5" spans="1:21">
      <c r="A31" s="211">
        <f>工程量核对表!A30</f>
        <v>1</v>
      </c>
      <c r="B31" s="212" t="str">
        <f>工程量核对表!B30</f>
        <v>圈梁C25砼 2级配 32.5水泥 粒径40mm</v>
      </c>
      <c r="C31" s="137" t="str">
        <f>工程量核对表!C30</f>
        <v>m3</v>
      </c>
      <c r="D31" s="213"/>
      <c r="E31" s="213"/>
      <c r="F31" s="213"/>
      <c r="G31" s="213"/>
      <c r="H31" s="213"/>
      <c r="I31" s="213">
        <v>3.03</v>
      </c>
      <c r="J31" s="223">
        <v>532.15</v>
      </c>
      <c r="K31" s="223"/>
      <c r="L31" s="213">
        <v>1611.02</v>
      </c>
      <c r="M31" s="213"/>
      <c r="N31" s="224">
        <f ca="1">工程量核对表!F30</f>
        <v>2.9295</v>
      </c>
      <c r="O31" s="225">
        <v>520.19</v>
      </c>
      <c r="P31" s="223"/>
      <c r="Q31" s="213">
        <f ca="1" t="shared" si="2"/>
        <v>1523.896605</v>
      </c>
      <c r="R31" s="235"/>
      <c r="S31" s="225">
        <f ca="1" t="shared" ref="S31:S39" si="9">Q31-G31</f>
        <v>1523.896605</v>
      </c>
      <c r="T31" s="224">
        <f ca="1" t="shared" ref="T31:T39" si="10">Q31-L31</f>
        <v>-87.1233949999998</v>
      </c>
      <c r="U31" s="236" t="s">
        <v>56</v>
      </c>
    </row>
    <row r="32" s="96" customFormat="1" ht="22.5" spans="1:21">
      <c r="A32" s="211">
        <f>工程量核对表!A31</f>
        <v>2</v>
      </c>
      <c r="B32" s="212" t="str">
        <f>工程量核对表!B31</f>
        <v>地面硬化C25砼 2级配 32.5水泥 粒径40mm</v>
      </c>
      <c r="C32" s="137" t="str">
        <f>工程量核对表!C31</f>
        <v>m3</v>
      </c>
      <c r="D32" s="213"/>
      <c r="E32" s="213"/>
      <c r="F32" s="213"/>
      <c r="G32" s="213"/>
      <c r="H32" s="213"/>
      <c r="I32" s="213">
        <v>2.68</v>
      </c>
      <c r="J32" s="223">
        <v>532.15</v>
      </c>
      <c r="K32" s="223"/>
      <c r="L32" s="213">
        <v>1427.36</v>
      </c>
      <c r="M32" s="213"/>
      <c r="N32" s="224">
        <f ca="1">工程量核对表!F31</f>
        <v>2.48332</v>
      </c>
      <c r="O32" s="225">
        <v>520.19</v>
      </c>
      <c r="P32" s="223"/>
      <c r="Q32" s="213">
        <f ca="1" t="shared" si="2"/>
        <v>1291.7982308</v>
      </c>
      <c r="R32" s="235"/>
      <c r="S32" s="225">
        <f ca="1" t="shared" si="9"/>
        <v>1291.7982308</v>
      </c>
      <c r="T32" s="224">
        <f ca="1" t="shared" si="10"/>
        <v>-135.5617692</v>
      </c>
      <c r="U32" s="236" t="s">
        <v>56</v>
      </c>
    </row>
    <row r="33" s="97" customFormat="1" ht="16.5" customHeight="1" spans="1:21">
      <c r="A33" s="211">
        <f>工程量核对表!A32</f>
        <v>3</v>
      </c>
      <c r="B33" s="212" t="str">
        <f>工程量核对表!B32</f>
        <v>顶板C25砼 2级配 32.5水泥 粒径40mm</v>
      </c>
      <c r="C33" s="137" t="str">
        <f>工程量核对表!C32</f>
        <v>m3</v>
      </c>
      <c r="D33" s="213"/>
      <c r="E33" s="213"/>
      <c r="F33" s="213"/>
      <c r="G33" s="213"/>
      <c r="H33" s="213"/>
      <c r="I33" s="213">
        <v>3.79</v>
      </c>
      <c r="J33" s="223">
        <v>552.15</v>
      </c>
      <c r="K33" s="223"/>
      <c r="L33" s="213">
        <v>2091.22</v>
      </c>
      <c r="M33" s="213"/>
      <c r="N33" s="224">
        <f ca="1">工程量核对表!F32</f>
        <v>3.5673</v>
      </c>
      <c r="O33" s="223">
        <v>540.81</v>
      </c>
      <c r="P33" s="223"/>
      <c r="Q33" s="213">
        <f ca="1" t="shared" ref="Q33:Q43" si="11">N33*O33</f>
        <v>1929.231513</v>
      </c>
      <c r="R33" s="235"/>
      <c r="S33" s="225">
        <f ca="1" t="shared" si="9"/>
        <v>1929.231513</v>
      </c>
      <c r="T33" s="224">
        <f ca="1" t="shared" si="10"/>
        <v>-161.988487</v>
      </c>
      <c r="U33" s="236" t="s">
        <v>46</v>
      </c>
    </row>
    <row r="34" s="97" customFormat="1" ht="16.5" customHeight="1" spans="1:21">
      <c r="A34" s="211">
        <f>工程量核对表!A33</f>
        <v>4</v>
      </c>
      <c r="B34" s="212" t="str">
        <f>工程量核对表!B33</f>
        <v>M7.5砌砖</v>
      </c>
      <c r="C34" s="137" t="str">
        <f>工程量核对表!C33</f>
        <v>m3</v>
      </c>
      <c r="D34" s="213"/>
      <c r="E34" s="213"/>
      <c r="F34" s="213"/>
      <c r="G34" s="213"/>
      <c r="H34" s="213"/>
      <c r="I34" s="213">
        <v>16.89</v>
      </c>
      <c r="J34" s="223">
        <v>563.85</v>
      </c>
      <c r="K34" s="223"/>
      <c r="L34" s="213">
        <v>9521.26</v>
      </c>
      <c r="M34" s="213"/>
      <c r="N34" s="224">
        <f ca="1">工程量核对表!F33</f>
        <v>16.28064</v>
      </c>
      <c r="O34" s="223">
        <v>533.69</v>
      </c>
      <c r="P34" s="223"/>
      <c r="Q34" s="213">
        <f ca="1" t="shared" si="11"/>
        <v>8688.8147616</v>
      </c>
      <c r="R34" s="235"/>
      <c r="S34" s="225">
        <f ca="1" t="shared" si="9"/>
        <v>8688.8147616</v>
      </c>
      <c r="T34" s="224">
        <f ca="1" t="shared" si="10"/>
        <v>-832.4452384</v>
      </c>
      <c r="U34" s="236" t="s">
        <v>46</v>
      </c>
    </row>
    <row r="35" s="97" customFormat="1" ht="16.5" customHeight="1" spans="1:21">
      <c r="A35" s="211">
        <f>工程量核对表!A34</f>
        <v>5</v>
      </c>
      <c r="B35" s="212" t="str">
        <f>工程量核对表!B34</f>
        <v>钢筋制安</v>
      </c>
      <c r="C35" s="137" t="str">
        <f>工程量核对表!C34</f>
        <v>kg</v>
      </c>
      <c r="D35" s="213"/>
      <c r="E35" s="213"/>
      <c r="F35" s="213"/>
      <c r="G35" s="213"/>
      <c r="H35" s="213"/>
      <c r="I35" s="213">
        <v>1202.25</v>
      </c>
      <c r="J35" s="223">
        <v>5.74</v>
      </c>
      <c r="K35" s="223"/>
      <c r="L35" s="213">
        <v>6900.91</v>
      </c>
      <c r="M35" s="213"/>
      <c r="N35" s="224">
        <f ca="1">工程量核对表!F34</f>
        <v>1246.58674</v>
      </c>
      <c r="O35" s="223">
        <v>5.99</v>
      </c>
      <c r="P35" s="223"/>
      <c r="Q35" s="213">
        <f ca="1" t="shared" si="11"/>
        <v>7467.0545726</v>
      </c>
      <c r="R35" s="235"/>
      <c r="S35" s="225">
        <f ca="1" t="shared" si="9"/>
        <v>7467.0545726</v>
      </c>
      <c r="T35" s="224">
        <f ca="1" t="shared" si="10"/>
        <v>566.1445726</v>
      </c>
      <c r="U35" s="236" t="s">
        <v>46</v>
      </c>
    </row>
    <row r="36" s="97" customFormat="1" ht="16.5" customHeight="1" spans="1:21">
      <c r="A36" s="211">
        <f>工程量核对表!A35</f>
        <v>6</v>
      </c>
      <c r="B36" s="212" t="str">
        <f>工程量核对表!B35</f>
        <v>墙面瓷砖粘贴</v>
      </c>
      <c r="C36" s="137" t="str">
        <f>工程量核对表!C35</f>
        <v>m2</v>
      </c>
      <c r="D36" s="213"/>
      <c r="E36" s="213"/>
      <c r="F36" s="213"/>
      <c r="G36" s="213"/>
      <c r="H36" s="213"/>
      <c r="I36" s="213">
        <v>63.88</v>
      </c>
      <c r="J36" s="223">
        <v>101.56</v>
      </c>
      <c r="K36" s="223"/>
      <c r="L36" s="213">
        <v>6488.06</v>
      </c>
      <c r="M36" s="213"/>
      <c r="N36" s="224">
        <f ca="1">工程量核对表!F35</f>
        <v>40.5562</v>
      </c>
      <c r="O36" s="225">
        <f>E17/1.11*1.0319</f>
        <v>94.4142018018018</v>
      </c>
      <c r="P36" s="223"/>
      <c r="Q36" s="213">
        <f ca="1" t="shared" si="11"/>
        <v>3829.08125111423</v>
      </c>
      <c r="R36" s="235"/>
      <c r="S36" s="225">
        <f ca="1" t="shared" si="9"/>
        <v>3829.08125111423</v>
      </c>
      <c r="T36" s="224">
        <f ca="1" t="shared" si="10"/>
        <v>-2658.97874888577</v>
      </c>
      <c r="U36" s="236" t="s">
        <v>46</v>
      </c>
    </row>
    <row r="37" s="97" customFormat="1" ht="16.5" customHeight="1" spans="1:21">
      <c r="A37" s="211">
        <f>工程量核对表!A36</f>
        <v>7</v>
      </c>
      <c r="B37" s="212" t="str">
        <f>工程量核对表!B36</f>
        <v>内墙M10砂浆抹面</v>
      </c>
      <c r="C37" s="137" t="str">
        <f>工程量核对表!C36</f>
        <v>m2</v>
      </c>
      <c r="D37" s="213"/>
      <c r="E37" s="213"/>
      <c r="F37" s="213"/>
      <c r="G37" s="213"/>
      <c r="H37" s="213"/>
      <c r="I37" s="213">
        <v>147.89</v>
      </c>
      <c r="J37" s="223">
        <v>16.54</v>
      </c>
      <c r="K37" s="223"/>
      <c r="L37" s="213">
        <v>2446.12</v>
      </c>
      <c r="M37" s="213"/>
      <c r="N37" s="224">
        <f ca="1">工程量核对表!F36</f>
        <v>128.818</v>
      </c>
      <c r="O37" s="225">
        <v>15.96</v>
      </c>
      <c r="P37" s="223"/>
      <c r="Q37" s="213">
        <f ca="1" t="shared" si="11"/>
        <v>2055.93528</v>
      </c>
      <c r="R37" s="235"/>
      <c r="S37" s="225">
        <f ca="1" t="shared" si="9"/>
        <v>2055.93528</v>
      </c>
      <c r="T37" s="224">
        <f ca="1" t="shared" si="10"/>
        <v>-390.18472</v>
      </c>
      <c r="U37" s="236" t="s">
        <v>46</v>
      </c>
    </row>
    <row r="38" s="97" customFormat="1" ht="16.5" customHeight="1" spans="1:21">
      <c r="A38" s="211">
        <f>工程量核对表!A37</f>
        <v>8</v>
      </c>
      <c r="B38" s="212" t="str">
        <f>工程量核对表!B37</f>
        <v>铝合金玻璃窗</v>
      </c>
      <c r="C38" s="137" t="str">
        <f>工程量核对表!C37</f>
        <v>m2</v>
      </c>
      <c r="D38" s="213"/>
      <c r="E38" s="213"/>
      <c r="F38" s="213"/>
      <c r="G38" s="213"/>
      <c r="H38" s="213"/>
      <c r="I38" s="213">
        <v>3.9</v>
      </c>
      <c r="J38" s="223">
        <v>200</v>
      </c>
      <c r="K38" s="223"/>
      <c r="L38" s="213">
        <v>780</v>
      </c>
      <c r="M38" s="213"/>
      <c r="N38" s="224">
        <f ca="1">工程量核对表!F37</f>
        <v>3.9</v>
      </c>
      <c r="O38" s="225">
        <f>J38/1.11*1.0319</f>
        <v>185.927927927928</v>
      </c>
      <c r="P38" s="223"/>
      <c r="Q38" s="213">
        <f ca="1" t="shared" si="11"/>
        <v>725.118918918919</v>
      </c>
      <c r="R38" s="235"/>
      <c r="S38" s="225">
        <f ca="1" t="shared" si="9"/>
        <v>725.118918918919</v>
      </c>
      <c r="T38" s="224">
        <f ca="1" t="shared" si="10"/>
        <v>-54.8810810810807</v>
      </c>
      <c r="U38" s="236" t="s">
        <v>57</v>
      </c>
    </row>
    <row r="39" s="97" customFormat="1" ht="16.5" customHeight="1" spans="1:21">
      <c r="A39" s="211">
        <f>工程量核对表!A38</f>
        <v>9</v>
      </c>
      <c r="B39" s="212" t="str">
        <f>工程量核对表!B38</f>
        <v>防盗门</v>
      </c>
      <c r="C39" s="137" t="str">
        <f>工程量核对表!C38</f>
        <v>栋</v>
      </c>
      <c r="D39" s="213"/>
      <c r="E39" s="213"/>
      <c r="F39" s="213"/>
      <c r="G39" s="213"/>
      <c r="H39" s="213"/>
      <c r="I39" s="213">
        <v>2</v>
      </c>
      <c r="J39" s="223">
        <v>1200</v>
      </c>
      <c r="K39" s="223"/>
      <c r="L39" s="213">
        <v>2400</v>
      </c>
      <c r="M39" s="213"/>
      <c r="N39" s="224">
        <f ca="1">工程量核对表!F38</f>
        <v>2</v>
      </c>
      <c r="O39" s="225">
        <f>J39/1.11*1.0319</f>
        <v>1115.56756756757</v>
      </c>
      <c r="P39" s="223"/>
      <c r="Q39" s="213">
        <f ca="1" t="shared" si="11"/>
        <v>2231.13513513514</v>
      </c>
      <c r="R39" s="235"/>
      <c r="S39" s="225">
        <f ca="1" t="shared" si="9"/>
        <v>2231.13513513514</v>
      </c>
      <c r="T39" s="224">
        <f ca="1" t="shared" si="10"/>
        <v>-168.86486486486</v>
      </c>
      <c r="U39" s="236" t="s">
        <v>57</v>
      </c>
    </row>
    <row r="40" s="97" customFormat="1" ht="16.5" customHeight="1" spans="1:21">
      <c r="A40" s="209" t="str">
        <f>工程量核对表!A39</f>
        <v>四</v>
      </c>
      <c r="B40" s="210" t="str">
        <f>工程量核对表!B39</f>
        <v>新增沉砂池工程</v>
      </c>
      <c r="C40" s="179" t="str">
        <f>工程量核对表!C39</f>
        <v/>
      </c>
      <c r="D40" s="131"/>
      <c r="E40" s="131"/>
      <c r="F40" s="131"/>
      <c r="G40" s="131"/>
      <c r="H40" s="131"/>
      <c r="I40" s="131"/>
      <c r="J40" s="221"/>
      <c r="K40" s="221"/>
      <c r="L40" s="131">
        <v>6423.3</v>
      </c>
      <c r="M40" s="131"/>
      <c r="N40" s="222"/>
      <c r="O40" s="221"/>
      <c r="P40" s="221"/>
      <c r="Q40" s="131">
        <f ca="1" t="shared" ref="Q40:T40" si="12">SUM(Q41:Q43)</f>
        <v>5317.08353</v>
      </c>
      <c r="R40" s="233"/>
      <c r="S40" s="131">
        <f ca="1" t="shared" si="12"/>
        <v>5317.08353</v>
      </c>
      <c r="T40" s="131">
        <f ca="1" t="shared" si="12"/>
        <v>-1106.20647</v>
      </c>
      <c r="U40" s="234"/>
    </row>
    <row r="41" s="97" customFormat="1" ht="16.5" customHeight="1" spans="1:21">
      <c r="A41" s="211">
        <f>工程量核对表!A40</f>
        <v>1</v>
      </c>
      <c r="B41" s="212" t="str">
        <f>工程量核对表!B40</f>
        <v>石方开挖</v>
      </c>
      <c r="C41" s="137" t="str">
        <f>工程量核对表!C40</f>
        <v>m3</v>
      </c>
      <c r="D41" s="213"/>
      <c r="E41" s="213"/>
      <c r="F41" s="213"/>
      <c r="G41" s="213"/>
      <c r="H41" s="213"/>
      <c r="I41" s="213">
        <v>14.31</v>
      </c>
      <c r="J41" s="223">
        <v>88.98</v>
      </c>
      <c r="K41" s="223"/>
      <c r="L41" s="213">
        <v>1273.3</v>
      </c>
      <c r="M41" s="213"/>
      <c r="N41" s="224">
        <f ca="1">工程量核对表!F40</f>
        <v>12.5345</v>
      </c>
      <c r="O41" s="225">
        <v>91.22</v>
      </c>
      <c r="P41" s="223"/>
      <c r="Q41" s="213">
        <f ca="1" t="shared" si="11"/>
        <v>1143.39709</v>
      </c>
      <c r="R41" s="235"/>
      <c r="S41" s="225">
        <f ca="1" t="shared" ref="S41:S43" si="13">Q41-G41</f>
        <v>1143.39709</v>
      </c>
      <c r="T41" s="224">
        <f ca="1" t="shared" ref="T41:T43" si="14">Q41-L41</f>
        <v>-129.90291</v>
      </c>
      <c r="U41" s="236" t="s">
        <v>46</v>
      </c>
    </row>
    <row r="42" s="97" customFormat="1" ht="22.5" spans="1:21">
      <c r="A42" s="211">
        <f>工程量核对表!A41</f>
        <v>2</v>
      </c>
      <c r="B42" s="212" t="str">
        <f>工程量核对表!B41</f>
        <v>C25现浇混凝土</v>
      </c>
      <c r="C42" s="137" t="str">
        <f>工程量核对表!C41</f>
        <v>m3</v>
      </c>
      <c r="D42" s="213"/>
      <c r="E42" s="213"/>
      <c r="F42" s="213"/>
      <c r="G42" s="213"/>
      <c r="H42" s="213"/>
      <c r="I42" s="213">
        <v>7.47</v>
      </c>
      <c r="J42" s="223">
        <v>552.15</v>
      </c>
      <c r="K42" s="223"/>
      <c r="L42" s="213">
        <v>4121.8</v>
      </c>
      <c r="M42" s="213"/>
      <c r="N42" s="224">
        <f ca="1">工程量核对表!F41</f>
        <v>6.266</v>
      </c>
      <c r="O42" s="225">
        <v>520.19</v>
      </c>
      <c r="P42" s="223"/>
      <c r="Q42" s="213">
        <f ca="1" t="shared" si="11"/>
        <v>3259.51054</v>
      </c>
      <c r="R42" s="235"/>
      <c r="S42" s="225">
        <f ca="1" t="shared" si="13"/>
        <v>3259.51054</v>
      </c>
      <c r="T42" s="224">
        <f ca="1" t="shared" si="14"/>
        <v>-862.28946</v>
      </c>
      <c r="U42" s="236" t="s">
        <v>56</v>
      </c>
    </row>
    <row r="43" s="97" customFormat="1" ht="16.5" customHeight="1" spans="1:21">
      <c r="A43" s="211">
        <f>工程量核对表!A42</f>
        <v>3</v>
      </c>
      <c r="B43" s="212" t="str">
        <f>工程量核对表!B42</f>
        <v>模板制安</v>
      </c>
      <c r="C43" s="137" t="str">
        <f>工程量核对表!C42</f>
        <v>m2</v>
      </c>
      <c r="D43" s="213"/>
      <c r="E43" s="213"/>
      <c r="F43" s="213"/>
      <c r="G43" s="213"/>
      <c r="H43" s="213"/>
      <c r="I43" s="213">
        <v>11.1</v>
      </c>
      <c r="J43" s="223">
        <v>92.63</v>
      </c>
      <c r="K43" s="223"/>
      <c r="L43" s="213">
        <v>1028.19</v>
      </c>
      <c r="M43" s="213"/>
      <c r="N43" s="224">
        <f ca="1">工程量核对表!F42</f>
        <v>9.63</v>
      </c>
      <c r="O43" s="225">
        <v>94.93</v>
      </c>
      <c r="P43" s="223"/>
      <c r="Q43" s="213">
        <f ca="1" t="shared" si="11"/>
        <v>914.1759</v>
      </c>
      <c r="R43" s="235"/>
      <c r="S43" s="225">
        <f ca="1" t="shared" si="13"/>
        <v>914.1759</v>
      </c>
      <c r="T43" s="224">
        <f ca="1" t="shared" si="14"/>
        <v>-114.0141</v>
      </c>
      <c r="U43" s="236" t="s">
        <v>46</v>
      </c>
    </row>
    <row r="44" s="97" customFormat="1" ht="16.5" customHeight="1" spans="1:21">
      <c r="A44" s="209" t="str">
        <f>工程量核对表!A43</f>
        <v>五</v>
      </c>
      <c r="B44" s="210" t="str">
        <f>工程量核对表!B43</f>
        <v>新增人工挖孔桩工程</v>
      </c>
      <c r="C44" s="179" t="str">
        <f>工程量核对表!C43</f>
        <v/>
      </c>
      <c r="D44" s="131"/>
      <c r="E44" s="131"/>
      <c r="F44" s="131"/>
      <c r="G44" s="131"/>
      <c r="H44" s="131"/>
      <c r="I44" s="131"/>
      <c r="J44" s="221"/>
      <c r="K44" s="221"/>
      <c r="L44" s="131">
        <v>31181.72</v>
      </c>
      <c r="M44" s="131"/>
      <c r="N44" s="222"/>
      <c r="O44" s="221"/>
      <c r="P44" s="221"/>
      <c r="Q44" s="131">
        <f ca="1" t="shared" ref="Q44:T44" si="15">SUM(Q45:Q48)</f>
        <v>31063.93119522</v>
      </c>
      <c r="R44" s="233"/>
      <c r="S44" s="131">
        <f ca="1" t="shared" si="15"/>
        <v>31063.93119522</v>
      </c>
      <c r="T44" s="131">
        <f ca="1" t="shared" si="15"/>
        <v>-117.798804780001</v>
      </c>
      <c r="U44" s="234"/>
    </row>
    <row r="45" s="97" customFormat="1" ht="16.5" customHeight="1" spans="1:21">
      <c r="A45" s="211">
        <f>工程量核对表!A44</f>
        <v>1</v>
      </c>
      <c r="B45" s="212" t="str">
        <f>工程量核对表!B44</f>
        <v>土方开挖</v>
      </c>
      <c r="C45" s="137" t="str">
        <f>工程量核对表!C44</f>
        <v>m3</v>
      </c>
      <c r="D45" s="213"/>
      <c r="E45" s="213"/>
      <c r="F45" s="213"/>
      <c r="G45" s="213"/>
      <c r="H45" s="213"/>
      <c r="I45" s="213">
        <v>33.85</v>
      </c>
      <c r="J45" s="223">
        <v>19.7</v>
      </c>
      <c r="K45" s="223"/>
      <c r="L45" s="213">
        <v>666.83</v>
      </c>
      <c r="M45" s="213"/>
      <c r="N45" s="224">
        <f ca="1">工程量核对表!F44</f>
        <v>33.8492</v>
      </c>
      <c r="O45" s="223">
        <v>20.63</v>
      </c>
      <c r="P45" s="223"/>
      <c r="Q45" s="213">
        <f ca="1" t="shared" ref="Q44:Q51" si="16">N45*O45</f>
        <v>698.308996</v>
      </c>
      <c r="R45" s="235"/>
      <c r="S45" s="225">
        <f ca="1" t="shared" ref="S45:S48" si="17">Q45-G45</f>
        <v>698.308996</v>
      </c>
      <c r="T45" s="224">
        <f ca="1" t="shared" ref="T45:T48" si="18">Q45-L45</f>
        <v>31.4789959999998</v>
      </c>
      <c r="U45" s="236" t="s">
        <v>46</v>
      </c>
    </row>
    <row r="46" s="97" customFormat="1" ht="16.5" customHeight="1" spans="1:21">
      <c r="A46" s="211">
        <f>工程量核对表!A45</f>
        <v>2</v>
      </c>
      <c r="B46" s="212" t="str">
        <f>工程量核对表!B45</f>
        <v>石方开挖</v>
      </c>
      <c r="C46" s="137" t="str">
        <f>工程量核对表!C45</f>
        <v>m3</v>
      </c>
      <c r="D46" s="213"/>
      <c r="E46" s="213"/>
      <c r="F46" s="213"/>
      <c r="G46" s="213"/>
      <c r="H46" s="213"/>
      <c r="I46" s="213">
        <v>5.08</v>
      </c>
      <c r="J46" s="223">
        <v>88.98</v>
      </c>
      <c r="K46" s="223"/>
      <c r="L46" s="213">
        <v>451.79</v>
      </c>
      <c r="M46" s="213"/>
      <c r="N46" s="224">
        <f ca="1">工程量核对表!F45</f>
        <v>5.07738</v>
      </c>
      <c r="O46" s="223">
        <v>91.22</v>
      </c>
      <c r="P46" s="223"/>
      <c r="Q46" s="213">
        <f ca="1" t="shared" si="16"/>
        <v>463.1586036</v>
      </c>
      <c r="R46" s="235"/>
      <c r="S46" s="225">
        <f ca="1" t="shared" si="17"/>
        <v>463.1586036</v>
      </c>
      <c r="T46" s="224">
        <f ca="1" t="shared" si="18"/>
        <v>11.3686036</v>
      </c>
      <c r="U46" s="236" t="s">
        <v>46</v>
      </c>
    </row>
    <row r="47" s="97" customFormat="1" ht="22.5" spans="1:21">
      <c r="A47" s="211">
        <f>工程量核对表!A46</f>
        <v>3</v>
      </c>
      <c r="B47" s="212" t="str">
        <f>工程量核对表!B46</f>
        <v>C25砼 2级配 32.5水泥 粒径40mm</v>
      </c>
      <c r="C47" s="137" t="str">
        <f>工程量核对表!C46</f>
        <v>m3</v>
      </c>
      <c r="D47" s="213"/>
      <c r="E47" s="213"/>
      <c r="F47" s="213"/>
      <c r="G47" s="213"/>
      <c r="H47" s="213"/>
      <c r="I47" s="213">
        <v>38.93</v>
      </c>
      <c r="J47" s="223">
        <v>532.15</v>
      </c>
      <c r="K47" s="223"/>
      <c r="L47" s="213">
        <v>20714.78</v>
      </c>
      <c r="M47" s="213"/>
      <c r="N47" s="224">
        <f ca="1">工程量核对表!F46</f>
        <v>38.92658</v>
      </c>
      <c r="O47" s="225">
        <v>520.19</v>
      </c>
      <c r="P47" s="223"/>
      <c r="Q47" s="213">
        <f ca="1" t="shared" si="16"/>
        <v>20249.2176502</v>
      </c>
      <c r="R47" s="235"/>
      <c r="S47" s="225">
        <f ca="1" t="shared" si="17"/>
        <v>20249.2176502</v>
      </c>
      <c r="T47" s="224">
        <f ca="1" t="shared" si="18"/>
        <v>-465.562349799999</v>
      </c>
      <c r="U47" s="236" t="s">
        <v>56</v>
      </c>
    </row>
    <row r="48" s="97" customFormat="1" ht="16.5" customHeight="1" spans="1:21">
      <c r="A48" s="211">
        <f>工程量核对表!A47</f>
        <v>4</v>
      </c>
      <c r="B48" s="212" t="str">
        <f>工程量核对表!B47</f>
        <v>钢筋制安</v>
      </c>
      <c r="C48" s="137" t="str">
        <f>工程量核对表!C47</f>
        <v>kg</v>
      </c>
      <c r="D48" s="213"/>
      <c r="E48" s="213"/>
      <c r="F48" s="213"/>
      <c r="G48" s="213"/>
      <c r="H48" s="213"/>
      <c r="I48" s="213">
        <v>1628.63</v>
      </c>
      <c r="J48" s="223">
        <v>5.74</v>
      </c>
      <c r="K48" s="223"/>
      <c r="L48" s="213">
        <v>9348.33</v>
      </c>
      <c r="M48" s="213"/>
      <c r="N48" s="224">
        <f ca="1">工程量核对表!F47</f>
        <v>1611.560258</v>
      </c>
      <c r="O48" s="223">
        <v>5.99</v>
      </c>
      <c r="P48" s="223"/>
      <c r="Q48" s="213">
        <f ca="1" t="shared" si="16"/>
        <v>9653.24594542</v>
      </c>
      <c r="R48" s="235"/>
      <c r="S48" s="225">
        <f ca="1" t="shared" si="17"/>
        <v>9653.24594542</v>
      </c>
      <c r="T48" s="224">
        <f ca="1" t="shared" si="18"/>
        <v>304.915945419998</v>
      </c>
      <c r="U48" s="236" t="s">
        <v>46</v>
      </c>
    </row>
    <row r="49" s="97" customFormat="1" ht="16.5" customHeight="1" spans="1:21">
      <c r="A49" s="209" t="str">
        <f>工程量核对表!A48</f>
        <v>六</v>
      </c>
      <c r="B49" s="210" t="str">
        <f>工程量核对表!B48</f>
        <v>新增施工便道工程</v>
      </c>
      <c r="C49" s="179"/>
      <c r="D49" s="131"/>
      <c r="E49" s="131"/>
      <c r="F49" s="131"/>
      <c r="G49" s="131"/>
      <c r="H49" s="131"/>
      <c r="I49" s="131"/>
      <c r="J49" s="221"/>
      <c r="K49" s="221"/>
      <c r="L49" s="131">
        <v>38946.81</v>
      </c>
      <c r="M49" s="131"/>
      <c r="N49" s="222"/>
      <c r="O49" s="221"/>
      <c r="P49" s="221"/>
      <c r="Q49" s="131">
        <f ca="1" t="shared" ref="Q49:T49" si="19">SUM(Q50:Q51)</f>
        <v>41844.432</v>
      </c>
      <c r="R49" s="233"/>
      <c r="S49" s="131">
        <f ca="1" t="shared" si="19"/>
        <v>41844.432</v>
      </c>
      <c r="T49" s="131">
        <f ca="1" t="shared" si="19"/>
        <v>2897.622</v>
      </c>
      <c r="U49" s="234"/>
    </row>
    <row r="50" s="97" customFormat="1" ht="16.5" customHeight="1" spans="1:21">
      <c r="A50" s="211">
        <f>工程量核对表!A49</f>
        <v>1</v>
      </c>
      <c r="B50" s="212" t="str">
        <f>工程量核对表!B49</f>
        <v>土方开挖</v>
      </c>
      <c r="C50" s="137" t="str">
        <f>工程量核对表!C49</f>
        <v>m3</v>
      </c>
      <c r="D50" s="213"/>
      <c r="E50" s="213"/>
      <c r="F50" s="213"/>
      <c r="G50" s="213"/>
      <c r="H50" s="213"/>
      <c r="I50" s="213">
        <v>886.2</v>
      </c>
      <c r="J50" s="223">
        <v>19.7</v>
      </c>
      <c r="K50" s="223"/>
      <c r="L50" s="213">
        <v>17458.14</v>
      </c>
      <c r="M50" s="213"/>
      <c r="N50" s="224">
        <f ca="1">工程量核对表!F49</f>
        <v>886.2</v>
      </c>
      <c r="O50" s="223">
        <v>20.63</v>
      </c>
      <c r="P50" s="223"/>
      <c r="Q50" s="213">
        <f ca="1" t="shared" si="16"/>
        <v>18282.306</v>
      </c>
      <c r="R50" s="235"/>
      <c r="S50" s="225">
        <f ca="1" t="shared" ref="S50:S54" si="20">Q50-G50</f>
        <v>18282.306</v>
      </c>
      <c r="T50" s="224">
        <f ca="1" t="shared" ref="T50:T54" si="21">Q50-L50</f>
        <v>824.165999999997</v>
      </c>
      <c r="U50" s="236" t="s">
        <v>46</v>
      </c>
    </row>
    <row r="51" s="97" customFormat="1" ht="16.5" customHeight="1" spans="1:21">
      <c r="A51" s="211">
        <f>工程量核对表!A50</f>
        <v>2</v>
      </c>
      <c r="B51" s="212" t="str">
        <f>工程量核对表!B50</f>
        <v>石方开挖</v>
      </c>
      <c r="C51" s="137" t="str">
        <f>工程量核对表!C50</f>
        <v>m3</v>
      </c>
      <c r="D51" s="213"/>
      <c r="E51" s="213"/>
      <c r="F51" s="213"/>
      <c r="G51" s="213"/>
      <c r="H51" s="213"/>
      <c r="I51" s="213">
        <v>241.5</v>
      </c>
      <c r="J51" s="223">
        <v>88.98</v>
      </c>
      <c r="K51" s="223"/>
      <c r="L51" s="213">
        <v>21488.67</v>
      </c>
      <c r="M51" s="213"/>
      <c r="N51" s="224">
        <f ca="1">工程量核对表!F50</f>
        <v>258.3</v>
      </c>
      <c r="O51" s="223">
        <v>91.22</v>
      </c>
      <c r="P51" s="223"/>
      <c r="Q51" s="213">
        <f ca="1" t="shared" si="16"/>
        <v>23562.126</v>
      </c>
      <c r="R51" s="235"/>
      <c r="S51" s="225">
        <f ca="1" t="shared" si="20"/>
        <v>23562.126</v>
      </c>
      <c r="T51" s="224">
        <f ca="1" t="shared" si="21"/>
        <v>2073.456</v>
      </c>
      <c r="U51" s="236" t="s">
        <v>46</v>
      </c>
    </row>
    <row r="52" s="97" customFormat="1" ht="16.5" customHeight="1" spans="1:21">
      <c r="A52" s="209" t="str">
        <f>工程量核对表!A51</f>
        <v>七</v>
      </c>
      <c r="B52" s="210" t="str">
        <f>工程量核对表!B51</f>
        <v>新增管道开挖埋设工程</v>
      </c>
      <c r="C52" s="179"/>
      <c r="D52" s="131"/>
      <c r="E52" s="131"/>
      <c r="F52" s="131"/>
      <c r="G52" s="131"/>
      <c r="H52" s="131"/>
      <c r="I52" s="131"/>
      <c r="J52" s="221"/>
      <c r="K52" s="221"/>
      <c r="L52" s="131">
        <v>108868.41</v>
      </c>
      <c r="M52" s="131"/>
      <c r="N52" s="222"/>
      <c r="O52" s="221"/>
      <c r="P52" s="221"/>
      <c r="Q52" s="131">
        <f ca="1" t="shared" ref="Q52:T52" si="22">SUM(Q53:Q54)</f>
        <v>93601.13379688</v>
      </c>
      <c r="R52" s="233"/>
      <c r="S52" s="131">
        <f ca="1" t="shared" si="22"/>
        <v>93601.13379688</v>
      </c>
      <c r="T52" s="131">
        <f ca="1" t="shared" si="22"/>
        <v>-15267.27620312</v>
      </c>
      <c r="U52" s="234"/>
    </row>
    <row r="53" s="97" customFormat="1" ht="16.5" customHeight="1" spans="1:21">
      <c r="A53" s="211">
        <f>工程量核对表!A52</f>
        <v>1</v>
      </c>
      <c r="B53" s="212" t="str">
        <f>工程量核对表!B52</f>
        <v>土方开挖</v>
      </c>
      <c r="C53" s="137" t="str">
        <f>工程量核对表!C52</f>
        <v>m3</v>
      </c>
      <c r="D53" s="213"/>
      <c r="E53" s="213"/>
      <c r="F53" s="213"/>
      <c r="G53" s="213"/>
      <c r="H53" s="213"/>
      <c r="I53" s="213">
        <v>2350</v>
      </c>
      <c r="J53" s="223">
        <v>19.7</v>
      </c>
      <c r="K53" s="223"/>
      <c r="L53" s="213">
        <v>46295</v>
      </c>
      <c r="M53" s="213"/>
      <c r="N53" s="224">
        <f ca="1">工程量核对表!F52</f>
        <v>2068</v>
      </c>
      <c r="O53" s="223">
        <v>20.63</v>
      </c>
      <c r="P53" s="223"/>
      <c r="Q53" s="213">
        <f ca="1" t="shared" ref="Q53:Q64" si="23">N53*O53</f>
        <v>42662.84</v>
      </c>
      <c r="R53" s="235"/>
      <c r="S53" s="225">
        <f ca="1" t="shared" si="20"/>
        <v>42662.84</v>
      </c>
      <c r="T53" s="224">
        <f ca="1" t="shared" si="21"/>
        <v>-3632.16</v>
      </c>
      <c r="U53" s="236" t="s">
        <v>46</v>
      </c>
    </row>
    <row r="54" s="97" customFormat="1" ht="16.5" customHeight="1" spans="1:21">
      <c r="A54" s="211">
        <f>工程量核对表!A53</f>
        <v>2</v>
      </c>
      <c r="B54" s="212" t="str">
        <f>工程量核对表!B53</f>
        <v>土石方回填</v>
      </c>
      <c r="C54" s="137" t="str">
        <f>工程量核对表!C53</f>
        <v>m3</v>
      </c>
      <c r="D54" s="213"/>
      <c r="E54" s="213"/>
      <c r="F54" s="213"/>
      <c r="G54" s="213"/>
      <c r="H54" s="213"/>
      <c r="I54" s="213">
        <v>2303.88</v>
      </c>
      <c r="J54" s="223">
        <v>27.16</v>
      </c>
      <c r="K54" s="223"/>
      <c r="L54" s="213">
        <v>62573.41</v>
      </c>
      <c r="M54" s="213"/>
      <c r="N54" s="224">
        <f ca="1">工程量核对表!F53</f>
        <v>2044.893368</v>
      </c>
      <c r="O54" s="223">
        <v>24.91</v>
      </c>
      <c r="P54" s="223"/>
      <c r="Q54" s="213">
        <f ca="1" t="shared" si="23"/>
        <v>50938.29379688</v>
      </c>
      <c r="R54" s="235"/>
      <c r="S54" s="225">
        <f ca="1" t="shared" si="20"/>
        <v>50938.29379688</v>
      </c>
      <c r="T54" s="224">
        <f ca="1" t="shared" si="21"/>
        <v>-11635.11620312</v>
      </c>
      <c r="U54" s="236" t="s">
        <v>46</v>
      </c>
    </row>
    <row r="55" s="97" customFormat="1" ht="16.5" customHeight="1" spans="1:21">
      <c r="A55" s="209" t="str">
        <f>工程量核对表!A54</f>
        <v>八</v>
      </c>
      <c r="B55" s="210" t="str">
        <f>工程量核对表!B54</f>
        <v>新增厂区附属工程</v>
      </c>
      <c r="C55" s="179"/>
      <c r="D55" s="131"/>
      <c r="E55" s="131"/>
      <c r="F55" s="131"/>
      <c r="G55" s="131"/>
      <c r="H55" s="131"/>
      <c r="I55" s="131"/>
      <c r="J55" s="221"/>
      <c r="K55" s="221"/>
      <c r="L55" s="131">
        <v>68014.81</v>
      </c>
      <c r="M55" s="131"/>
      <c r="N55" s="222"/>
      <c r="O55" s="221"/>
      <c r="P55" s="221"/>
      <c r="Q55" s="131">
        <f ca="1" t="shared" ref="Q55:T55" si="24">SUM(Q56:Q62)</f>
        <v>46225.4013498564</v>
      </c>
      <c r="R55" s="233"/>
      <c r="S55" s="131">
        <f ca="1" t="shared" si="24"/>
        <v>46225.4013498564</v>
      </c>
      <c r="T55" s="131">
        <f ca="1" t="shared" si="24"/>
        <v>-21789.4086501436</v>
      </c>
      <c r="U55" s="234"/>
    </row>
    <row r="56" s="97" customFormat="1" ht="16.5" customHeight="1" spans="1:21">
      <c r="A56" s="211">
        <f>工程量核对表!A55</f>
        <v>1</v>
      </c>
      <c r="B56" s="212" t="str">
        <f>工程量核对表!B55</f>
        <v>沟渠土方开挖</v>
      </c>
      <c r="C56" s="137" t="str">
        <f>工程量核对表!C55</f>
        <v>m3</v>
      </c>
      <c r="D56" s="213"/>
      <c r="E56" s="213"/>
      <c r="F56" s="213"/>
      <c r="G56" s="213"/>
      <c r="H56" s="213"/>
      <c r="I56" s="213">
        <v>29.45</v>
      </c>
      <c r="J56" s="223">
        <v>19.7</v>
      </c>
      <c r="K56" s="223"/>
      <c r="L56" s="213">
        <v>580.17</v>
      </c>
      <c r="M56" s="213"/>
      <c r="N56" s="224">
        <f ca="1">工程量核对表!F55</f>
        <v>22.337312</v>
      </c>
      <c r="O56" s="223">
        <v>20.63</v>
      </c>
      <c r="P56" s="223"/>
      <c r="Q56" s="213">
        <f ca="1" t="shared" si="23"/>
        <v>460.81874656</v>
      </c>
      <c r="R56" s="235"/>
      <c r="S56" s="225">
        <f ca="1" t="shared" ref="S56:S62" si="25">Q56-G56</f>
        <v>460.81874656</v>
      </c>
      <c r="T56" s="224">
        <f ca="1" t="shared" ref="T56:T62" si="26">Q56-L56</f>
        <v>-119.35125344</v>
      </c>
      <c r="U56" s="236" t="s">
        <v>46</v>
      </c>
    </row>
    <row r="57" s="97" customFormat="1" ht="16.5" customHeight="1" spans="1:21">
      <c r="A57" s="211">
        <f>工程量核对表!A56</f>
        <v>2</v>
      </c>
      <c r="B57" s="212" t="str">
        <f>工程量核对表!B56</f>
        <v>沟渠模板制安</v>
      </c>
      <c r="C57" s="137" t="str">
        <f>工程量核对表!C56</f>
        <v>m3</v>
      </c>
      <c r="D57" s="213"/>
      <c r="E57" s="213"/>
      <c r="F57" s="213"/>
      <c r="G57" s="213"/>
      <c r="H57" s="213"/>
      <c r="I57" s="213">
        <v>121.05</v>
      </c>
      <c r="J57" s="223">
        <v>92.63</v>
      </c>
      <c r="K57" s="223"/>
      <c r="L57" s="213">
        <v>11212.86</v>
      </c>
      <c r="M57" s="213"/>
      <c r="N57" s="224">
        <f ca="1">工程量核对表!F56</f>
        <v>39.6671</v>
      </c>
      <c r="O57" s="223">
        <v>94.93</v>
      </c>
      <c r="P57" s="223"/>
      <c r="Q57" s="213">
        <f ca="1" t="shared" si="23"/>
        <v>3765.597803</v>
      </c>
      <c r="R57" s="235"/>
      <c r="S57" s="225">
        <f ca="1" t="shared" si="25"/>
        <v>3765.597803</v>
      </c>
      <c r="T57" s="224">
        <f ca="1" t="shared" si="26"/>
        <v>-7447.262197</v>
      </c>
      <c r="U57" s="236" t="s">
        <v>46</v>
      </c>
    </row>
    <row r="58" s="97" customFormat="1" ht="22.5" spans="1:21">
      <c r="A58" s="211">
        <f>工程量核对表!A57</f>
        <v>3</v>
      </c>
      <c r="B58" s="212" t="str">
        <f>工程量核对表!B57</f>
        <v>沟渠C25现浇砼</v>
      </c>
      <c r="C58" s="137" t="str">
        <f>工程量核对表!C57</f>
        <v>m3</v>
      </c>
      <c r="D58" s="213"/>
      <c r="E58" s="213"/>
      <c r="F58" s="213"/>
      <c r="G58" s="213"/>
      <c r="H58" s="213"/>
      <c r="I58" s="213">
        <v>15.99</v>
      </c>
      <c r="J58" s="223">
        <v>532.15</v>
      </c>
      <c r="K58" s="223"/>
      <c r="L58" s="213">
        <v>8506.42</v>
      </c>
      <c r="M58" s="213"/>
      <c r="N58" s="224">
        <f ca="1">工程量核对表!F57</f>
        <v>11.211886</v>
      </c>
      <c r="O58" s="225">
        <v>520.19</v>
      </c>
      <c r="P58" s="223"/>
      <c r="Q58" s="213">
        <f ca="1" t="shared" si="23"/>
        <v>5832.31097834</v>
      </c>
      <c r="R58" s="235"/>
      <c r="S58" s="225">
        <f ca="1" t="shared" si="25"/>
        <v>5832.31097834</v>
      </c>
      <c r="T58" s="224">
        <f ca="1" t="shared" si="26"/>
        <v>-2674.10902166</v>
      </c>
      <c r="U58" s="236" t="s">
        <v>56</v>
      </c>
    </row>
    <row r="59" s="97" customFormat="1" ht="22.5" spans="1:21">
      <c r="A59" s="211">
        <f>工程量核对表!A58</f>
        <v>4</v>
      </c>
      <c r="B59" s="212" t="str">
        <f>工程量核对表!B58</f>
        <v>挡土墙现浇砼</v>
      </c>
      <c r="C59" s="137" t="str">
        <f>工程量核对表!C58</f>
        <v>m3</v>
      </c>
      <c r="D59" s="213"/>
      <c r="E59" s="213"/>
      <c r="F59" s="213"/>
      <c r="G59" s="213"/>
      <c r="H59" s="213"/>
      <c r="I59" s="213">
        <v>70.47</v>
      </c>
      <c r="J59" s="223">
        <v>532.15</v>
      </c>
      <c r="K59" s="223"/>
      <c r="L59" s="213">
        <v>37498.08</v>
      </c>
      <c r="M59" s="213"/>
      <c r="N59" s="224">
        <f ca="1">工程量核对表!F58</f>
        <v>53.8756</v>
      </c>
      <c r="O59" s="225">
        <v>520.19</v>
      </c>
      <c r="P59" s="223"/>
      <c r="Q59" s="213">
        <f ca="1" t="shared" si="23"/>
        <v>28025.548364</v>
      </c>
      <c r="R59" s="235"/>
      <c r="S59" s="225">
        <f ca="1" t="shared" si="25"/>
        <v>28025.548364</v>
      </c>
      <c r="T59" s="224">
        <f ca="1" t="shared" si="26"/>
        <v>-9472.531636</v>
      </c>
      <c r="U59" s="236" t="s">
        <v>56</v>
      </c>
    </row>
    <row r="60" s="97" customFormat="1" ht="16.5" customHeight="1" spans="1:21">
      <c r="A60" s="211">
        <f>工程量核对表!A59</f>
        <v>5</v>
      </c>
      <c r="B60" s="212" t="str">
        <f>工程量核对表!B59</f>
        <v>挡土墙模板制安</v>
      </c>
      <c r="C60" s="137" t="str">
        <f>工程量核对表!C59</f>
        <v>m2</v>
      </c>
      <c r="D60" s="213"/>
      <c r="E60" s="213"/>
      <c r="F60" s="213"/>
      <c r="G60" s="213"/>
      <c r="H60" s="213"/>
      <c r="I60" s="213">
        <v>93.95</v>
      </c>
      <c r="J60" s="223">
        <v>92.63</v>
      </c>
      <c r="K60" s="223"/>
      <c r="L60" s="213">
        <v>8702.59</v>
      </c>
      <c r="M60" s="213"/>
      <c r="N60" s="224">
        <f ca="1">工程量核对表!F59</f>
        <v>73.396</v>
      </c>
      <c r="O60" s="223">
        <v>94.93</v>
      </c>
      <c r="P60" s="223"/>
      <c r="Q60" s="213">
        <f ca="1" t="shared" si="23"/>
        <v>6967.48228</v>
      </c>
      <c r="R60" s="235"/>
      <c r="S60" s="225">
        <f ca="1" t="shared" si="25"/>
        <v>6967.48228</v>
      </c>
      <c r="T60" s="224">
        <f ca="1" t="shared" si="26"/>
        <v>-1735.10772</v>
      </c>
      <c r="U60" s="236" t="s">
        <v>46</v>
      </c>
    </row>
    <row r="61" s="97" customFormat="1" ht="22.5" spans="1:21">
      <c r="A61" s="211">
        <f>工程量核对表!A60</f>
        <v>6</v>
      </c>
      <c r="B61" s="212" t="str">
        <f>工程量核对表!B60</f>
        <v>梯步现浇砼</v>
      </c>
      <c r="C61" s="137" t="str">
        <f>工程量核对表!C60</f>
        <v>m3</v>
      </c>
      <c r="D61" s="213"/>
      <c r="E61" s="213"/>
      <c r="F61" s="213"/>
      <c r="G61" s="213"/>
      <c r="H61" s="213"/>
      <c r="I61" s="213">
        <v>1.94</v>
      </c>
      <c r="J61" s="223">
        <v>532.15</v>
      </c>
      <c r="K61" s="223"/>
      <c r="L61" s="213">
        <v>1034.5</v>
      </c>
      <c r="M61" s="213"/>
      <c r="N61" s="224">
        <f ca="1">工程量核对表!F60</f>
        <v>1.45322128060208</v>
      </c>
      <c r="O61" s="225">
        <f>O59</f>
        <v>520.19</v>
      </c>
      <c r="P61" s="223"/>
      <c r="Q61" s="213">
        <f ca="1" t="shared" si="23"/>
        <v>755.951177956395</v>
      </c>
      <c r="R61" s="235"/>
      <c r="S61" s="225">
        <f ca="1" t="shared" si="25"/>
        <v>755.951177956395</v>
      </c>
      <c r="T61" s="224">
        <f ca="1" t="shared" si="26"/>
        <v>-278.548822043605</v>
      </c>
      <c r="U61" s="236" t="s">
        <v>56</v>
      </c>
    </row>
    <row r="62" s="97" customFormat="1" ht="16.5" customHeight="1" spans="1:21">
      <c r="A62" s="211">
        <f>工程量核对表!A61</f>
        <v>7</v>
      </c>
      <c r="B62" s="212" t="str">
        <f>工程量核对表!B61</f>
        <v>梯步模板制安</v>
      </c>
      <c r="C62" s="137" t="str">
        <f>工程量核对表!C61</f>
        <v>m2</v>
      </c>
      <c r="D62" s="213"/>
      <c r="E62" s="213"/>
      <c r="F62" s="213"/>
      <c r="G62" s="213"/>
      <c r="H62" s="213"/>
      <c r="I62" s="213">
        <v>5.18</v>
      </c>
      <c r="J62" s="223">
        <v>92.63</v>
      </c>
      <c r="K62" s="223"/>
      <c r="L62" s="213">
        <v>480.19</v>
      </c>
      <c r="M62" s="213"/>
      <c r="N62" s="224">
        <f ca="1">工程量核对表!F61</f>
        <v>4.4</v>
      </c>
      <c r="O62" s="223">
        <v>94.93</v>
      </c>
      <c r="P62" s="223"/>
      <c r="Q62" s="213">
        <f ca="1" t="shared" si="23"/>
        <v>417.692</v>
      </c>
      <c r="R62" s="235"/>
      <c r="S62" s="225">
        <f ca="1" t="shared" si="25"/>
        <v>417.692</v>
      </c>
      <c r="T62" s="224">
        <f ca="1" t="shared" si="26"/>
        <v>-62.4979999999999</v>
      </c>
      <c r="U62" s="236" t="s">
        <v>46</v>
      </c>
    </row>
    <row r="63" s="97" customFormat="1" ht="16.5" customHeight="1" spans="1:21">
      <c r="A63" s="209" t="str">
        <f>工程量核对表!A62</f>
        <v>增补</v>
      </c>
      <c r="B63" s="210" t="str">
        <f>工程量核对表!B62</f>
        <v>镀锌钢管河道砼埋设</v>
      </c>
      <c r="C63" s="179"/>
      <c r="D63" s="131"/>
      <c r="E63" s="131"/>
      <c r="F63" s="131"/>
      <c r="G63" s="131"/>
      <c r="H63" s="131"/>
      <c r="I63" s="131"/>
      <c r="J63" s="221"/>
      <c r="K63" s="221"/>
      <c r="L63" s="131">
        <f>SUM(L64:L67)</f>
        <v>10479.351</v>
      </c>
      <c r="M63" s="131"/>
      <c r="N63" s="222"/>
      <c r="O63" s="221"/>
      <c r="P63" s="221"/>
      <c r="Q63" s="131">
        <f ca="1" t="shared" ref="Q63:T63" si="27">SUM(Q64:Q67)</f>
        <v>6797.43559151396</v>
      </c>
      <c r="R63" s="233"/>
      <c r="S63" s="131">
        <f ca="1" t="shared" si="27"/>
        <v>6797.43559151396</v>
      </c>
      <c r="T63" s="131">
        <f ca="1" t="shared" si="27"/>
        <v>-3681.91540848604</v>
      </c>
      <c r="U63" s="234"/>
    </row>
    <row r="64" s="97" customFormat="1" ht="16.5" customHeight="1" spans="1:21">
      <c r="A64" s="211">
        <f>工程量核对表!A63</f>
        <v>1</v>
      </c>
      <c r="B64" s="212" t="str">
        <f>工程量核对表!B63</f>
        <v>钢筋锚杆</v>
      </c>
      <c r="C64" s="137" t="str">
        <f>工程量核对表!C63</f>
        <v>t</v>
      </c>
      <c r="D64" s="213"/>
      <c r="E64" s="213"/>
      <c r="F64" s="213"/>
      <c r="G64" s="213"/>
      <c r="H64" s="213"/>
      <c r="I64" s="213">
        <f>工程量核对表!E63</f>
        <v>0.04</v>
      </c>
      <c r="J64" s="223">
        <v>7624.44</v>
      </c>
      <c r="K64" s="223"/>
      <c r="L64" s="213">
        <v>307.095</v>
      </c>
      <c r="M64" s="213"/>
      <c r="N64" s="224">
        <f ca="1">工程量核对表!F63</f>
        <v>0.04027776</v>
      </c>
      <c r="O64" s="225">
        <f>J64/1.11*1.0319</f>
        <v>7087.98165405405</v>
      </c>
      <c r="P64" s="223"/>
      <c r="Q64" s="213">
        <f ca="1" t="shared" ref="Q64:Q67" si="28">N64*O64</f>
        <v>285.488023946392</v>
      </c>
      <c r="R64" s="235"/>
      <c r="S64" s="225">
        <f ca="1" t="shared" ref="S64:S67" si="29">Q64-G64</f>
        <v>285.488023946392</v>
      </c>
      <c r="T64" s="224">
        <f ca="1" t="shared" ref="T64:T67" si="30">Q64-L64</f>
        <v>-21.606976053608</v>
      </c>
      <c r="U64" s="236" t="s">
        <v>57</v>
      </c>
    </row>
    <row r="65" s="97" customFormat="1" ht="22.5" spans="1:21">
      <c r="A65" s="211">
        <f>工程量核对表!A64</f>
        <v>2</v>
      </c>
      <c r="B65" s="212" t="str">
        <f>工程量核对表!B64</f>
        <v>C25砼</v>
      </c>
      <c r="C65" s="137" t="str">
        <f>工程量核对表!C64</f>
        <v>m3</v>
      </c>
      <c r="D65" s="213"/>
      <c r="E65" s="213"/>
      <c r="F65" s="213"/>
      <c r="G65" s="213"/>
      <c r="H65" s="213"/>
      <c r="I65" s="213">
        <f>工程量核对表!E64</f>
        <v>7.6</v>
      </c>
      <c r="J65" s="223">
        <v>532.15</v>
      </c>
      <c r="K65" s="223"/>
      <c r="L65" s="213">
        <f t="shared" ref="L64:L67" si="31">I65*J65</f>
        <v>4044.34</v>
      </c>
      <c r="M65" s="213"/>
      <c r="N65" s="224">
        <f ca="1">工程量核对表!F64</f>
        <v>7.6</v>
      </c>
      <c r="O65" s="225">
        <v>520.19</v>
      </c>
      <c r="P65" s="223"/>
      <c r="Q65" s="213">
        <f ca="1" t="shared" si="28"/>
        <v>3953.444</v>
      </c>
      <c r="R65" s="235"/>
      <c r="S65" s="225">
        <f ca="1" t="shared" si="29"/>
        <v>3953.444</v>
      </c>
      <c r="T65" s="224">
        <f ca="1" t="shared" si="30"/>
        <v>-90.8959999999993</v>
      </c>
      <c r="U65" s="236" t="s">
        <v>56</v>
      </c>
    </row>
    <row r="66" s="97" customFormat="1" ht="16.5" customHeight="1" spans="1:21">
      <c r="A66" s="211">
        <f>工程量核对表!A65</f>
        <v>3</v>
      </c>
      <c r="B66" s="212" t="str">
        <f>工程量核对表!B65</f>
        <v>模板制安</v>
      </c>
      <c r="C66" s="137" t="str">
        <f>工程量核对表!C65</f>
        <v>m2</v>
      </c>
      <c r="D66" s="213"/>
      <c r="E66" s="213"/>
      <c r="F66" s="213"/>
      <c r="G66" s="213"/>
      <c r="H66" s="213"/>
      <c r="I66" s="213">
        <f>工程量核对表!E65</f>
        <v>53.2</v>
      </c>
      <c r="J66" s="223">
        <v>92.63</v>
      </c>
      <c r="K66" s="223"/>
      <c r="L66" s="213">
        <f t="shared" si="31"/>
        <v>4927.916</v>
      </c>
      <c r="M66" s="213"/>
      <c r="N66" s="224">
        <f ca="1">工程量核对表!F65</f>
        <v>15.2</v>
      </c>
      <c r="O66" s="225">
        <v>94.93</v>
      </c>
      <c r="P66" s="223"/>
      <c r="Q66" s="213">
        <f ca="1" t="shared" si="28"/>
        <v>1442.936</v>
      </c>
      <c r="R66" s="235"/>
      <c r="S66" s="225">
        <f ca="1" t="shared" si="29"/>
        <v>1442.936</v>
      </c>
      <c r="T66" s="224">
        <f ca="1" t="shared" si="30"/>
        <v>-3484.98</v>
      </c>
      <c r="U66" s="236" t="s">
        <v>46</v>
      </c>
    </row>
    <row r="67" s="97" customFormat="1" ht="16.5" customHeight="1" spans="1:21">
      <c r="A67" s="211">
        <f>工程量核对表!A66</f>
        <v>4</v>
      </c>
      <c r="B67" s="212" t="str">
        <f>工程量核对表!B66</f>
        <v>锚杆钻孔（孔深20cm）</v>
      </c>
      <c r="C67" s="137" t="str">
        <f>工程量核对表!C66</f>
        <v>个</v>
      </c>
      <c r="D67" s="213"/>
      <c r="E67" s="213"/>
      <c r="F67" s="213"/>
      <c r="G67" s="213"/>
      <c r="H67" s="213"/>
      <c r="I67" s="213">
        <f>工程量核对表!E66</f>
        <v>60</v>
      </c>
      <c r="J67" s="223">
        <v>20</v>
      </c>
      <c r="K67" s="223"/>
      <c r="L67" s="213">
        <f t="shared" si="31"/>
        <v>1200</v>
      </c>
      <c r="M67" s="213"/>
      <c r="N67" s="224">
        <f ca="1">工程量核对表!F66</f>
        <v>60</v>
      </c>
      <c r="O67" s="225">
        <f>J67/1.11*1.0319</f>
        <v>18.5927927927928</v>
      </c>
      <c r="P67" s="223"/>
      <c r="Q67" s="213">
        <f ca="1" t="shared" si="28"/>
        <v>1115.56756756757</v>
      </c>
      <c r="R67" s="235"/>
      <c r="S67" s="225">
        <f ca="1" t="shared" si="29"/>
        <v>1115.56756756757</v>
      </c>
      <c r="T67" s="224">
        <f ca="1" t="shared" si="30"/>
        <v>-84.4324324324321</v>
      </c>
      <c r="U67" s="236" t="s">
        <v>57</v>
      </c>
    </row>
    <row r="68" s="97" customFormat="1" ht="16.5" customHeight="1" spans="1:21">
      <c r="A68" s="207"/>
      <c r="B68" s="207" t="str">
        <f>工程量核对表!B67</f>
        <v>第二部分 机电设备安装工程</v>
      </c>
      <c r="C68" s="174"/>
      <c r="D68" s="208"/>
      <c r="E68" s="208"/>
      <c r="F68" s="208"/>
      <c r="G68" s="208">
        <f>G87</f>
        <v>1958156.02</v>
      </c>
      <c r="H68" s="208">
        <f>H77</f>
        <v>351400</v>
      </c>
      <c r="I68" s="208"/>
      <c r="J68" s="216"/>
      <c r="K68" s="217"/>
      <c r="L68" s="208">
        <f>L69+L87</f>
        <v>1872714.58</v>
      </c>
      <c r="M68" s="208">
        <f>M69+M77+M87</f>
        <v>58695</v>
      </c>
      <c r="N68" s="218"/>
      <c r="O68" s="217"/>
      <c r="P68" s="217"/>
      <c r="Q68" s="208">
        <f ca="1" t="shared" ref="M68:T68" si="32">Q69+Q77+Q87</f>
        <v>1875151.421</v>
      </c>
      <c r="R68" s="208">
        <f ca="1" t="shared" si="32"/>
        <v>54565.1986486487</v>
      </c>
      <c r="S68" s="208">
        <f ca="1" t="shared" si="32"/>
        <v>-379839.400351351</v>
      </c>
      <c r="T68" s="208">
        <f ca="1" t="shared" si="32"/>
        <v>-1692.96035135134</v>
      </c>
      <c r="U68" s="232"/>
    </row>
    <row r="69" s="97" customFormat="1" ht="16.5" customHeight="1" spans="1:21">
      <c r="A69" s="209" t="str">
        <f>工程量核对表!A68</f>
        <v>一</v>
      </c>
      <c r="B69" s="210" t="str">
        <f>工程量核对表!B68</f>
        <v>新增设备安装工程</v>
      </c>
      <c r="C69" s="179"/>
      <c r="D69" s="131"/>
      <c r="E69" s="131"/>
      <c r="F69" s="131"/>
      <c r="G69" s="131"/>
      <c r="H69" s="131"/>
      <c r="I69" s="131"/>
      <c r="J69" s="220"/>
      <c r="K69" s="221"/>
      <c r="L69" s="131">
        <f>SUM(L70:L76)</f>
        <v>76390</v>
      </c>
      <c r="M69" s="131">
        <f t="shared" ref="M69:T69" si="33">SUM(M70:M76)</f>
        <v>18705</v>
      </c>
      <c r="N69" s="222"/>
      <c r="O69" s="221"/>
      <c r="P69" s="221"/>
      <c r="Q69" s="131">
        <f ca="1" t="shared" si="33"/>
        <v>78826.841</v>
      </c>
      <c r="R69" s="131">
        <f ca="1" t="shared" si="33"/>
        <v>17388.9094594595</v>
      </c>
      <c r="S69" s="131">
        <f ca="1" t="shared" si="33"/>
        <v>96215.7504594595</v>
      </c>
      <c r="T69" s="131">
        <f ca="1" t="shared" si="33"/>
        <v>1120.75045945946</v>
      </c>
      <c r="U69" s="234"/>
    </row>
    <row r="70" s="97" customFormat="1" ht="16.5" customHeight="1" spans="1:21">
      <c r="A70" s="211">
        <f>工程量核对表!A69</f>
        <v>1</v>
      </c>
      <c r="B70" s="212" t="str">
        <f>工程量核对表!B69</f>
        <v>滑坡DN125mm镀锌管维修</v>
      </c>
      <c r="C70" s="137" t="str">
        <f>工程量核对表!C69</f>
        <v>m</v>
      </c>
      <c r="D70" s="213"/>
      <c r="E70" s="213"/>
      <c r="F70" s="213"/>
      <c r="G70" s="213"/>
      <c r="H70" s="213"/>
      <c r="I70" s="213">
        <v>40</v>
      </c>
      <c r="J70" s="223">
        <v>125</v>
      </c>
      <c r="K70" s="223">
        <v>22</v>
      </c>
      <c r="L70" s="213">
        <f>I70*J70</f>
        <v>5000</v>
      </c>
      <c r="M70" s="213">
        <f>I70*K70</f>
        <v>880</v>
      </c>
      <c r="N70" s="224">
        <f ca="1">工程量核对表!F69</f>
        <v>40</v>
      </c>
      <c r="O70" s="225">
        <f>J70*1.0319</f>
        <v>128.9875</v>
      </c>
      <c r="P70" s="225">
        <f>F79/1.11*1.0319</f>
        <v>20.4520720720721</v>
      </c>
      <c r="Q70" s="213">
        <f ca="1">N70*O70</f>
        <v>5159.5</v>
      </c>
      <c r="R70" s="213">
        <f ca="1">N70*P70</f>
        <v>818.082882882884</v>
      </c>
      <c r="S70" s="225">
        <f ca="1">Q70+R70-G70-H70</f>
        <v>5977.58288288288</v>
      </c>
      <c r="T70" s="224">
        <f ca="1">Q70+R70-L70-M70</f>
        <v>97.5828828828835</v>
      </c>
      <c r="U70" s="236" t="s">
        <v>46</v>
      </c>
    </row>
    <row r="71" s="97" customFormat="1" ht="16.5" customHeight="1" spans="1:21">
      <c r="A71" s="211">
        <f>工程量核对表!A70</f>
        <v>2</v>
      </c>
      <c r="B71" s="212" t="str">
        <f>工程量核对表!B70</f>
        <v>水毁DN100mm镀锌管维修</v>
      </c>
      <c r="C71" s="137" t="str">
        <f>工程量核对表!C70</f>
        <v>m</v>
      </c>
      <c r="D71" s="213"/>
      <c r="E71" s="213"/>
      <c r="F71" s="213"/>
      <c r="G71" s="213"/>
      <c r="H71" s="213"/>
      <c r="I71" s="213">
        <v>80</v>
      </c>
      <c r="J71" s="223">
        <v>93</v>
      </c>
      <c r="K71" s="223">
        <v>20</v>
      </c>
      <c r="L71" s="213">
        <f t="shared" ref="L71:L76" si="34">I71*J71</f>
        <v>7440</v>
      </c>
      <c r="M71" s="213">
        <f t="shared" ref="M71:M76" si="35">I71*K71</f>
        <v>1600</v>
      </c>
      <c r="N71" s="224">
        <f ca="1">工程量核对表!F70</f>
        <v>80</v>
      </c>
      <c r="O71" s="225">
        <f t="shared" ref="O70:O76" si="36">J71*1.0319</f>
        <v>95.9667</v>
      </c>
      <c r="P71" s="225">
        <f>F80/1.11*1.0319</f>
        <v>18.5927927927928</v>
      </c>
      <c r="Q71" s="213">
        <f ca="1" t="shared" ref="Q70:Q78" si="37">N71*O71</f>
        <v>7677.336</v>
      </c>
      <c r="R71" s="213">
        <f ca="1" t="shared" ref="R71:R76" si="38">N71*P71</f>
        <v>1487.42342342342</v>
      </c>
      <c r="S71" s="225">
        <f ca="1" t="shared" ref="S71:S76" si="39">Q71+R71-G71-H71</f>
        <v>9164.75942342342</v>
      </c>
      <c r="T71" s="224">
        <f ca="1" t="shared" ref="T71:T76" si="40">Q71+R71-L71-M71</f>
        <v>124.759423423424</v>
      </c>
      <c r="U71" s="236" t="s">
        <v>46</v>
      </c>
    </row>
    <row r="72" s="97" customFormat="1" ht="16.5" customHeight="1" spans="1:21">
      <c r="A72" s="211">
        <f>工程量核对表!A71</f>
        <v>3</v>
      </c>
      <c r="B72" s="212" t="str">
        <f>工程量核对表!B71</f>
        <v>DN65mm镀锌管购买</v>
      </c>
      <c r="C72" s="137" t="str">
        <f>工程量核对表!C71</f>
        <v>m</v>
      </c>
      <c r="D72" s="213"/>
      <c r="E72" s="213"/>
      <c r="F72" s="213"/>
      <c r="G72" s="213"/>
      <c r="H72" s="213"/>
      <c r="I72" s="213">
        <v>190</v>
      </c>
      <c r="J72" s="223">
        <v>55</v>
      </c>
      <c r="K72" s="223">
        <v>15</v>
      </c>
      <c r="L72" s="213">
        <f t="shared" si="34"/>
        <v>10450</v>
      </c>
      <c r="M72" s="213">
        <f t="shared" si="35"/>
        <v>2850</v>
      </c>
      <c r="N72" s="224">
        <f ca="1">工程量核对表!F71</f>
        <v>190</v>
      </c>
      <c r="O72" s="225">
        <f t="shared" si="36"/>
        <v>56.7545</v>
      </c>
      <c r="P72" s="225">
        <f>K72/1.11*1.0319</f>
        <v>13.9445945945946</v>
      </c>
      <c r="Q72" s="213">
        <f ca="1" t="shared" si="37"/>
        <v>10783.355</v>
      </c>
      <c r="R72" s="213">
        <f ca="1" t="shared" si="38"/>
        <v>2649.47297297297</v>
      </c>
      <c r="S72" s="225">
        <f ca="1" t="shared" si="39"/>
        <v>13432.827972973</v>
      </c>
      <c r="T72" s="224">
        <f ca="1" t="shared" si="40"/>
        <v>132.827972972973</v>
      </c>
      <c r="U72" s="236" t="s">
        <v>57</v>
      </c>
    </row>
    <row r="73" s="97" customFormat="1" ht="16.5" customHeight="1" spans="1:21">
      <c r="A73" s="211">
        <f>工程量核对表!A72</f>
        <v>4</v>
      </c>
      <c r="B73" s="212" t="str">
        <f>工程量核对表!B72</f>
        <v>DN65mm加压阀、水表、表前阀、闸阀</v>
      </c>
      <c r="C73" s="137" t="str">
        <f>工程量核对表!C72</f>
        <v>套</v>
      </c>
      <c r="D73" s="213"/>
      <c r="E73" s="213"/>
      <c r="F73" s="213"/>
      <c r="G73" s="213"/>
      <c r="H73" s="213"/>
      <c r="I73" s="213">
        <v>4</v>
      </c>
      <c r="J73" s="223">
        <v>6000</v>
      </c>
      <c r="K73" s="223">
        <v>1500</v>
      </c>
      <c r="L73" s="213">
        <f t="shared" si="34"/>
        <v>24000</v>
      </c>
      <c r="M73" s="213">
        <f t="shared" si="35"/>
        <v>6000</v>
      </c>
      <c r="N73" s="224">
        <f ca="1">工程量核对表!F72</f>
        <v>4</v>
      </c>
      <c r="O73" s="225">
        <f t="shared" si="36"/>
        <v>6191.4</v>
      </c>
      <c r="P73" s="225">
        <f>K73/1.11*1.0319</f>
        <v>1394.45945945946</v>
      </c>
      <c r="Q73" s="213">
        <f ca="1" t="shared" si="37"/>
        <v>24765.6</v>
      </c>
      <c r="R73" s="213">
        <f ca="1" t="shared" si="38"/>
        <v>5577.83783783784</v>
      </c>
      <c r="S73" s="225">
        <f ca="1" t="shared" si="39"/>
        <v>30343.4378378378</v>
      </c>
      <c r="T73" s="224">
        <f ca="1" t="shared" si="40"/>
        <v>343.437837837839</v>
      </c>
      <c r="U73" s="236" t="s">
        <v>57</v>
      </c>
    </row>
    <row r="74" s="97" customFormat="1" ht="16.5" customHeight="1" spans="1:21">
      <c r="A74" s="211">
        <f>工程量核对表!A73</f>
        <v>5</v>
      </c>
      <c r="B74" s="212" t="str">
        <f>工程量核对表!B73</f>
        <v>DN150mm高压闸阀</v>
      </c>
      <c r="C74" s="137" t="str">
        <f>工程量核对表!C73</f>
        <v>只</v>
      </c>
      <c r="D74" s="213"/>
      <c r="E74" s="213"/>
      <c r="F74" s="213"/>
      <c r="G74" s="213"/>
      <c r="H74" s="213"/>
      <c r="I74" s="213">
        <v>1</v>
      </c>
      <c r="J74" s="223">
        <v>8000</v>
      </c>
      <c r="K74" s="223">
        <v>2000</v>
      </c>
      <c r="L74" s="213">
        <f t="shared" si="34"/>
        <v>8000</v>
      </c>
      <c r="M74" s="213">
        <f t="shared" si="35"/>
        <v>2000</v>
      </c>
      <c r="N74" s="224">
        <f ca="1">工程量核对表!F73</f>
        <v>1</v>
      </c>
      <c r="O74" s="225">
        <f t="shared" si="36"/>
        <v>8255.2</v>
      </c>
      <c r="P74" s="225">
        <f>K74/1.11*1.0319</f>
        <v>1859.27927927928</v>
      </c>
      <c r="Q74" s="213">
        <f ca="1" t="shared" si="37"/>
        <v>8255.2</v>
      </c>
      <c r="R74" s="213">
        <f ca="1" t="shared" si="38"/>
        <v>1859.27927927928</v>
      </c>
      <c r="S74" s="225">
        <f ca="1" t="shared" si="39"/>
        <v>10114.4792792793</v>
      </c>
      <c r="T74" s="224">
        <f ca="1" t="shared" si="40"/>
        <v>114.479279279281</v>
      </c>
      <c r="U74" s="236" t="s">
        <v>57</v>
      </c>
    </row>
    <row r="75" s="97" customFormat="1" ht="16.5" customHeight="1" spans="1:21">
      <c r="A75" s="211">
        <f>工程量核对表!A74</f>
        <v>6</v>
      </c>
      <c r="B75" s="212" t="str">
        <f>工程量核对表!B74</f>
        <v>DN125mm高压闸阀</v>
      </c>
      <c r="C75" s="137" t="str">
        <f>工程量核对表!C74</f>
        <v>只</v>
      </c>
      <c r="D75" s="213"/>
      <c r="E75" s="213"/>
      <c r="F75" s="213"/>
      <c r="G75" s="213"/>
      <c r="H75" s="213"/>
      <c r="I75" s="213">
        <v>1</v>
      </c>
      <c r="J75" s="223">
        <v>6500</v>
      </c>
      <c r="K75" s="223">
        <v>1625</v>
      </c>
      <c r="L75" s="213">
        <f t="shared" si="34"/>
        <v>6500</v>
      </c>
      <c r="M75" s="213">
        <f t="shared" si="35"/>
        <v>1625</v>
      </c>
      <c r="N75" s="224">
        <f ca="1">工程量核对表!F74</f>
        <v>1</v>
      </c>
      <c r="O75" s="225">
        <f t="shared" si="36"/>
        <v>6707.35</v>
      </c>
      <c r="P75" s="225">
        <f>K75/1.11*1.0319</f>
        <v>1510.66441441441</v>
      </c>
      <c r="Q75" s="213">
        <f ca="1" t="shared" si="37"/>
        <v>6707.35</v>
      </c>
      <c r="R75" s="213">
        <f ca="1" t="shared" si="38"/>
        <v>1510.66441441441</v>
      </c>
      <c r="S75" s="225">
        <f ca="1" t="shared" si="39"/>
        <v>8218.01441441441</v>
      </c>
      <c r="T75" s="224">
        <f ca="1" t="shared" si="40"/>
        <v>93.0144144144106</v>
      </c>
      <c r="U75" s="236" t="s">
        <v>57</v>
      </c>
    </row>
    <row r="76" s="97" customFormat="1" ht="16.5" customHeight="1" spans="1:21">
      <c r="A76" s="211">
        <f>工程量核对表!A75</f>
        <v>7</v>
      </c>
      <c r="B76" s="212" t="str">
        <f>工程量核对表!B75</f>
        <v>DN100mm高压闸阀</v>
      </c>
      <c r="C76" s="137" t="str">
        <f>工程量核对表!C75</f>
        <v>只</v>
      </c>
      <c r="D76" s="213"/>
      <c r="E76" s="213"/>
      <c r="F76" s="213"/>
      <c r="G76" s="213"/>
      <c r="H76" s="213"/>
      <c r="I76" s="213">
        <v>3</v>
      </c>
      <c r="J76" s="223">
        <v>5000</v>
      </c>
      <c r="K76" s="223">
        <v>1250</v>
      </c>
      <c r="L76" s="213">
        <f t="shared" si="34"/>
        <v>15000</v>
      </c>
      <c r="M76" s="213">
        <f t="shared" si="35"/>
        <v>3750</v>
      </c>
      <c r="N76" s="224">
        <f ca="1">工程量核对表!F75</f>
        <v>3</v>
      </c>
      <c r="O76" s="225">
        <f t="shared" si="36"/>
        <v>5159.5</v>
      </c>
      <c r="P76" s="225">
        <f>K76/1.11*1.0319</f>
        <v>1162.04954954955</v>
      </c>
      <c r="Q76" s="213">
        <f ca="1" t="shared" si="37"/>
        <v>15478.5</v>
      </c>
      <c r="R76" s="213">
        <f ca="1" t="shared" si="38"/>
        <v>3486.14864864865</v>
      </c>
      <c r="S76" s="225">
        <f ca="1" t="shared" si="39"/>
        <v>18964.6486486487</v>
      </c>
      <c r="T76" s="224">
        <f ca="1" t="shared" si="40"/>
        <v>214.64864864865</v>
      </c>
      <c r="U76" s="236" t="s">
        <v>57</v>
      </c>
    </row>
    <row r="77" s="97" customFormat="1" ht="16.5" customHeight="1" spans="1:21">
      <c r="A77" s="209" t="str">
        <f>工程量核对表!A76</f>
        <v>二</v>
      </c>
      <c r="B77" s="210" t="str">
        <f>工程量核对表!B76</f>
        <v>管网安装工程</v>
      </c>
      <c r="C77" s="179"/>
      <c r="D77" s="131"/>
      <c r="E77" s="131"/>
      <c r="F77" s="131"/>
      <c r="G77" s="131"/>
      <c r="H77" s="131">
        <v>351400</v>
      </c>
      <c r="I77" s="131"/>
      <c r="J77" s="220"/>
      <c r="K77" s="221"/>
      <c r="L77" s="131"/>
      <c r="M77" s="131">
        <v>39990</v>
      </c>
      <c r="N77" s="222"/>
      <c r="O77" s="221"/>
      <c r="P77" s="221"/>
      <c r="Q77" s="131"/>
      <c r="R77" s="131">
        <f ca="1" t="shared" ref="Q77:T77" si="41">SUM(R78:R86)</f>
        <v>37176.2891891892</v>
      </c>
      <c r="S77" s="131">
        <f ca="1" t="shared" si="41"/>
        <v>-314223.710810811</v>
      </c>
      <c r="T77" s="131">
        <f ca="1" t="shared" si="41"/>
        <v>-2813.7108108108</v>
      </c>
      <c r="U77" s="234"/>
    </row>
    <row r="78" s="97" customFormat="1" ht="16.5" customHeight="1" spans="1:21">
      <c r="A78" s="211">
        <f>工程量核对表!A77</f>
        <v>1</v>
      </c>
      <c r="B78" s="212" t="str">
        <f>工程量核对表!B77</f>
        <v>DN150热镀锌钢管安装（供水主管）</v>
      </c>
      <c r="C78" s="137" t="str">
        <f>工程量核对表!C77</f>
        <v>m</v>
      </c>
      <c r="D78" s="213">
        <v>2000</v>
      </c>
      <c r="E78" s="213"/>
      <c r="F78" s="213">
        <v>25</v>
      </c>
      <c r="G78" s="213"/>
      <c r="H78" s="213">
        <v>50000</v>
      </c>
      <c r="I78" s="213"/>
      <c r="J78" s="223"/>
      <c r="K78" s="223"/>
      <c r="L78" s="213"/>
      <c r="M78" s="213"/>
      <c r="N78" s="224">
        <f ca="1">工程量核对表!F77</f>
        <v>0</v>
      </c>
      <c r="O78" s="223"/>
      <c r="P78" s="225">
        <f>F78/1.11*1.0319</f>
        <v>23.240990990991</v>
      </c>
      <c r="Q78" s="213"/>
      <c r="R78" s="213">
        <f ca="1">N78*P78</f>
        <v>0</v>
      </c>
      <c r="S78" s="225">
        <f ca="1">R78-H78</f>
        <v>-50000</v>
      </c>
      <c r="T78" s="224">
        <f ca="1">R78-M78</f>
        <v>0</v>
      </c>
      <c r="U78" s="236"/>
    </row>
    <row r="79" s="97" customFormat="1" ht="16.5" customHeight="1" spans="1:21">
      <c r="A79" s="211">
        <f>工程量核对表!A78</f>
        <v>2</v>
      </c>
      <c r="B79" s="212" t="str">
        <f>工程量核对表!B78</f>
        <v>DN125热镀锌钢管安装（供水主管）</v>
      </c>
      <c r="C79" s="137" t="str">
        <f>工程量核对表!C78</f>
        <v>m</v>
      </c>
      <c r="D79" s="213">
        <v>8500</v>
      </c>
      <c r="E79" s="213"/>
      <c r="F79" s="213">
        <v>22</v>
      </c>
      <c r="G79" s="213"/>
      <c r="H79" s="213">
        <v>187000</v>
      </c>
      <c r="I79" s="213"/>
      <c r="J79" s="223"/>
      <c r="K79" s="223"/>
      <c r="L79" s="213"/>
      <c r="M79" s="213"/>
      <c r="N79" s="224">
        <f ca="1">工程量核对表!F78</f>
        <v>0</v>
      </c>
      <c r="O79" s="223"/>
      <c r="P79" s="225">
        <f t="shared" ref="P79:P86" si="42">F79/1.11*1.0319</f>
        <v>20.4520720720721</v>
      </c>
      <c r="Q79" s="213"/>
      <c r="R79" s="213">
        <f ca="1" t="shared" ref="R79:R86" si="43">N79*P79</f>
        <v>0</v>
      </c>
      <c r="S79" s="225">
        <f ca="1" t="shared" ref="S79:S86" si="44">R79-H79</f>
        <v>-187000</v>
      </c>
      <c r="T79" s="224">
        <f ca="1" t="shared" ref="T79:T86" si="45">R79-M79</f>
        <v>0</v>
      </c>
      <c r="U79" s="236"/>
    </row>
    <row r="80" s="97" customFormat="1" ht="16.5" customHeight="1" spans="1:21">
      <c r="A80" s="211">
        <f>工程量核对表!A79</f>
        <v>3</v>
      </c>
      <c r="B80" s="212" t="str">
        <f>工程量核对表!B79</f>
        <v>DN100热镀锌钢管安装（供水主管）</v>
      </c>
      <c r="C80" s="137" t="str">
        <f>工程量核对表!C79</f>
        <v>m</v>
      </c>
      <c r="D80" s="213">
        <v>2500</v>
      </c>
      <c r="E80" s="213"/>
      <c r="F80" s="213">
        <v>20</v>
      </c>
      <c r="G80" s="213"/>
      <c r="H80" s="213">
        <v>50000</v>
      </c>
      <c r="I80" s="213"/>
      <c r="J80" s="223"/>
      <c r="K80" s="223"/>
      <c r="L80" s="213"/>
      <c r="M80" s="213"/>
      <c r="N80" s="224">
        <f ca="1">工程量核对表!F79</f>
        <v>0</v>
      </c>
      <c r="O80" s="223"/>
      <c r="P80" s="225">
        <f t="shared" si="42"/>
        <v>18.5927927927928</v>
      </c>
      <c r="Q80" s="213"/>
      <c r="R80" s="213">
        <f ca="1" t="shared" si="43"/>
        <v>0</v>
      </c>
      <c r="S80" s="225">
        <f ca="1" t="shared" si="44"/>
        <v>-50000</v>
      </c>
      <c r="T80" s="224">
        <f ca="1" t="shared" si="45"/>
        <v>0</v>
      </c>
      <c r="U80" s="236"/>
    </row>
    <row r="81" s="97" customFormat="1" ht="16.5" customHeight="1" spans="1:21">
      <c r="A81" s="211">
        <f>工程量核对表!A80</f>
        <v>4</v>
      </c>
      <c r="B81" s="212" t="str">
        <f>工程量核对表!B80</f>
        <v>dn63mmPE管安装（供水主管）</v>
      </c>
      <c r="C81" s="137" t="str">
        <f>工程量核对表!C80</f>
        <v>m</v>
      </c>
      <c r="D81" s="213">
        <v>5500</v>
      </c>
      <c r="E81" s="213"/>
      <c r="F81" s="213">
        <v>3.5</v>
      </c>
      <c r="G81" s="213"/>
      <c r="H81" s="213">
        <v>19250</v>
      </c>
      <c r="I81" s="213">
        <v>4500</v>
      </c>
      <c r="J81" s="223"/>
      <c r="K81" s="223">
        <v>3.5</v>
      </c>
      <c r="L81" s="213"/>
      <c r="M81" s="213">
        <f t="shared" ref="M81:M86" si="46">I81*K81</f>
        <v>15750</v>
      </c>
      <c r="N81" s="224">
        <f ca="1">工程量核对表!F80</f>
        <v>4500</v>
      </c>
      <c r="O81" s="223"/>
      <c r="P81" s="225">
        <f t="shared" si="42"/>
        <v>3.25373873873874</v>
      </c>
      <c r="Q81" s="213"/>
      <c r="R81" s="213">
        <f ca="1" t="shared" si="43"/>
        <v>14641.8243243243</v>
      </c>
      <c r="S81" s="225">
        <f ca="1" t="shared" si="44"/>
        <v>-4608.17567567567</v>
      </c>
      <c r="T81" s="224">
        <f ca="1" t="shared" si="45"/>
        <v>-1108.17567567567</v>
      </c>
      <c r="U81" s="236"/>
    </row>
    <row r="82" s="97" customFormat="1" ht="16.5" customHeight="1" spans="1:21">
      <c r="A82" s="211">
        <f>工程量核对表!A81</f>
        <v>5</v>
      </c>
      <c r="B82" s="212" t="str">
        <f>工程量核对表!B81</f>
        <v>dn50mmPE管安装（供水主管）</v>
      </c>
      <c r="C82" s="137" t="str">
        <f>工程量核对表!C81</f>
        <v>m</v>
      </c>
      <c r="D82" s="213">
        <v>2400</v>
      </c>
      <c r="E82" s="213"/>
      <c r="F82" s="213">
        <v>2.5</v>
      </c>
      <c r="G82" s="213"/>
      <c r="H82" s="213">
        <v>6000</v>
      </c>
      <c r="I82" s="213">
        <v>1200</v>
      </c>
      <c r="J82" s="223"/>
      <c r="K82" s="223">
        <v>2.5</v>
      </c>
      <c r="L82" s="213"/>
      <c r="M82" s="213">
        <f t="shared" si="46"/>
        <v>3000</v>
      </c>
      <c r="N82" s="224">
        <f ca="1">工程量核对表!F81</f>
        <v>1200</v>
      </c>
      <c r="O82" s="223"/>
      <c r="P82" s="225">
        <f t="shared" si="42"/>
        <v>2.3240990990991</v>
      </c>
      <c r="Q82" s="213"/>
      <c r="R82" s="213">
        <f ca="1" t="shared" si="43"/>
        <v>2788.91891891892</v>
      </c>
      <c r="S82" s="225">
        <f ca="1" t="shared" si="44"/>
        <v>-3211.08108108108</v>
      </c>
      <c r="T82" s="224">
        <f ca="1" t="shared" si="45"/>
        <v>-211.08108108108</v>
      </c>
      <c r="U82" s="236"/>
    </row>
    <row r="83" s="97" customFormat="1" ht="16.5" customHeight="1" spans="1:21">
      <c r="A83" s="211">
        <f>工程量核对表!A82</f>
        <v>6</v>
      </c>
      <c r="B83" s="212" t="str">
        <f>工程量核对表!B82</f>
        <v>dn40mmPE管安装（供水主管）</v>
      </c>
      <c r="C83" s="137" t="str">
        <f>工程量核对表!C82</f>
        <v>m</v>
      </c>
      <c r="D83" s="213">
        <v>2900</v>
      </c>
      <c r="E83" s="213"/>
      <c r="F83" s="213">
        <v>1.5</v>
      </c>
      <c r="G83" s="213"/>
      <c r="H83" s="213">
        <v>4350</v>
      </c>
      <c r="I83" s="213">
        <v>2000</v>
      </c>
      <c r="J83" s="223"/>
      <c r="K83" s="223">
        <v>1.5</v>
      </c>
      <c r="L83" s="213"/>
      <c r="M83" s="213">
        <f t="shared" si="46"/>
        <v>3000</v>
      </c>
      <c r="N83" s="224">
        <f ca="1">工程量核对表!F82</f>
        <v>2000</v>
      </c>
      <c r="O83" s="223"/>
      <c r="P83" s="225">
        <f t="shared" si="42"/>
        <v>1.39445945945946</v>
      </c>
      <c r="Q83" s="213"/>
      <c r="R83" s="213">
        <f ca="1" t="shared" si="43"/>
        <v>2788.91891891892</v>
      </c>
      <c r="S83" s="225">
        <f ca="1" t="shared" si="44"/>
        <v>-1561.08108108108</v>
      </c>
      <c r="T83" s="224">
        <f ca="1" t="shared" si="45"/>
        <v>-211.08108108108</v>
      </c>
      <c r="U83" s="236"/>
    </row>
    <row r="84" s="97" customFormat="1" ht="16.5" customHeight="1" spans="1:21">
      <c r="A84" s="211">
        <f>工程量核对表!A83</f>
        <v>7</v>
      </c>
      <c r="B84" s="212" t="str">
        <f>工程量核对表!B83</f>
        <v>dn32mmPE管安装（供水主管）</v>
      </c>
      <c r="C84" s="137" t="str">
        <f>工程量核对表!C83</f>
        <v>m</v>
      </c>
      <c r="D84" s="213">
        <v>4500</v>
      </c>
      <c r="E84" s="213"/>
      <c r="F84" s="213">
        <v>0.8</v>
      </c>
      <c r="G84" s="213"/>
      <c r="H84" s="213">
        <v>3600</v>
      </c>
      <c r="I84" s="213">
        <v>3800</v>
      </c>
      <c r="J84" s="223"/>
      <c r="K84" s="223">
        <v>0.8</v>
      </c>
      <c r="L84" s="213"/>
      <c r="M84" s="213">
        <f t="shared" si="46"/>
        <v>3040</v>
      </c>
      <c r="N84" s="224">
        <f ca="1">工程量核对表!F83</f>
        <v>3800</v>
      </c>
      <c r="O84" s="223"/>
      <c r="P84" s="225">
        <f t="shared" si="42"/>
        <v>0.743711711711712</v>
      </c>
      <c r="Q84" s="213"/>
      <c r="R84" s="213">
        <f ca="1" t="shared" si="43"/>
        <v>2826.10450450451</v>
      </c>
      <c r="S84" s="225">
        <f ca="1" t="shared" si="44"/>
        <v>-773.895495495494</v>
      </c>
      <c r="T84" s="224">
        <f ca="1" t="shared" si="45"/>
        <v>-213.895495495494</v>
      </c>
      <c r="U84" s="236"/>
    </row>
    <row r="85" s="97" customFormat="1" ht="16.5" customHeight="1" spans="1:21">
      <c r="A85" s="211">
        <f>工程量核对表!A84</f>
        <v>8</v>
      </c>
      <c r="B85" s="212" t="str">
        <f>工程量核对表!B84</f>
        <v>dn25mmPE管安装（供水主管）</v>
      </c>
      <c r="C85" s="137" t="str">
        <f>工程量核对表!C84</f>
        <v>m</v>
      </c>
      <c r="D85" s="213">
        <v>6000</v>
      </c>
      <c r="E85" s="213"/>
      <c r="F85" s="213">
        <v>0.8</v>
      </c>
      <c r="G85" s="213"/>
      <c r="H85" s="213">
        <v>4800</v>
      </c>
      <c r="I85" s="213">
        <v>6000</v>
      </c>
      <c r="J85" s="223"/>
      <c r="K85" s="223">
        <v>0.8</v>
      </c>
      <c r="L85" s="213"/>
      <c r="M85" s="213">
        <f t="shared" si="46"/>
        <v>4800</v>
      </c>
      <c r="N85" s="224">
        <f ca="1">工程量核对表!F84</f>
        <v>6000</v>
      </c>
      <c r="O85" s="223"/>
      <c r="P85" s="225">
        <f t="shared" si="42"/>
        <v>0.743711711711712</v>
      </c>
      <c r="Q85" s="213"/>
      <c r="R85" s="213">
        <f ca="1" t="shared" si="43"/>
        <v>4462.27027027027</v>
      </c>
      <c r="S85" s="225">
        <f ca="1" t="shared" si="44"/>
        <v>-337.729729729728</v>
      </c>
      <c r="T85" s="224">
        <f ca="1" t="shared" si="45"/>
        <v>-337.729729729728</v>
      </c>
      <c r="U85" s="236"/>
    </row>
    <row r="86" s="97" customFormat="1" ht="16.5" customHeight="1" spans="1:21">
      <c r="A86" s="211">
        <f>工程量核对表!A85</f>
        <v>9</v>
      </c>
      <c r="B86" s="212" t="str">
        <f>工程量核对表!B85</f>
        <v>dn20mmPE管安装（下户管）</v>
      </c>
      <c r="C86" s="137" t="str">
        <f>工程量核对表!C85</f>
        <v>m</v>
      </c>
      <c r="D86" s="213">
        <v>33000</v>
      </c>
      <c r="E86" s="213"/>
      <c r="F86" s="213">
        <v>0.8</v>
      </c>
      <c r="G86" s="213"/>
      <c r="H86" s="213">
        <v>26400</v>
      </c>
      <c r="I86" s="213">
        <v>13000</v>
      </c>
      <c r="J86" s="223"/>
      <c r="K86" s="223">
        <v>0.8</v>
      </c>
      <c r="L86" s="213"/>
      <c r="M86" s="213">
        <f t="shared" si="46"/>
        <v>10400</v>
      </c>
      <c r="N86" s="224">
        <f ca="1">工程量核对表!F85</f>
        <v>13000</v>
      </c>
      <c r="O86" s="223"/>
      <c r="P86" s="225">
        <f t="shared" si="42"/>
        <v>0.743711711711712</v>
      </c>
      <c r="Q86" s="213"/>
      <c r="R86" s="213">
        <f ca="1" t="shared" si="43"/>
        <v>9668.25225225226</v>
      </c>
      <c r="S86" s="225">
        <f ca="1" t="shared" si="44"/>
        <v>-16731.7477477477</v>
      </c>
      <c r="T86" s="224">
        <f ca="1" t="shared" si="45"/>
        <v>-731.747747747744</v>
      </c>
      <c r="U86" s="236"/>
    </row>
    <row r="87" s="97" customFormat="1" ht="16.5" customHeight="1" spans="1:21">
      <c r="A87" s="209" t="str">
        <f>工程量核对表!A86</f>
        <v>三</v>
      </c>
      <c r="B87" s="210" t="str">
        <f>工程量核对表!B86</f>
        <v>政府采购PE管</v>
      </c>
      <c r="C87" s="179"/>
      <c r="D87" s="131"/>
      <c r="E87" s="131"/>
      <c r="F87" s="131"/>
      <c r="G87" s="131">
        <v>1958156.02</v>
      </c>
      <c r="H87" s="131"/>
      <c r="I87" s="131"/>
      <c r="J87" s="221"/>
      <c r="K87" s="221"/>
      <c r="L87" s="131">
        <f>SUM(L88:L97)</f>
        <v>1796324.58</v>
      </c>
      <c r="M87" s="131"/>
      <c r="N87" s="222"/>
      <c r="O87" s="221"/>
      <c r="P87" s="221"/>
      <c r="Q87" s="131">
        <f>SUM(Q88:Q97)</f>
        <v>1796324.58</v>
      </c>
      <c r="R87" s="131"/>
      <c r="S87" s="131">
        <f>SUM(S88:S97)</f>
        <v>-161831.44</v>
      </c>
      <c r="T87" s="131">
        <f>SUM(T88:T97)</f>
        <v>0</v>
      </c>
      <c r="U87" s="234" t="s">
        <v>39</v>
      </c>
    </row>
    <row r="88" s="97" customFormat="1" ht="16.5" customHeight="1" spans="1:21">
      <c r="A88" s="211">
        <f>工程量核对表!A87</f>
        <v>1</v>
      </c>
      <c r="B88" s="212" t="str">
        <f>工程量核对表!B87</f>
        <v>DN150热镀锌钢管安装（供水主管）</v>
      </c>
      <c r="C88" s="137" t="str">
        <f>工程量核对表!C87</f>
        <v>m</v>
      </c>
      <c r="D88" s="213">
        <v>2000</v>
      </c>
      <c r="E88" s="213">
        <v>128</v>
      </c>
      <c r="F88" s="213"/>
      <c r="G88" s="213">
        <v>256000</v>
      </c>
      <c r="H88" s="213"/>
      <c r="I88" s="213">
        <v>2000</v>
      </c>
      <c r="J88" s="213">
        <v>128</v>
      </c>
      <c r="K88" s="213"/>
      <c r="L88" s="213">
        <v>256000</v>
      </c>
      <c r="M88" s="213"/>
      <c r="N88" s="213">
        <v>2000</v>
      </c>
      <c r="O88" s="213">
        <v>128</v>
      </c>
      <c r="P88" s="213"/>
      <c r="Q88" s="213">
        <f>N88*O88</f>
        <v>256000</v>
      </c>
      <c r="R88" s="235"/>
      <c r="S88" s="225">
        <f>Q88-G88</f>
        <v>0</v>
      </c>
      <c r="T88" s="224">
        <f>Q88-L88</f>
        <v>0</v>
      </c>
      <c r="U88" s="236"/>
    </row>
    <row r="89" s="97" customFormat="1" ht="16.5" customHeight="1" spans="1:21">
      <c r="A89" s="211">
        <f>工程量核对表!A88</f>
        <v>2</v>
      </c>
      <c r="B89" s="212" t="str">
        <f>工程量核对表!B88</f>
        <v>DN125热镀锌钢管安装（供水主管）</v>
      </c>
      <c r="C89" s="137" t="str">
        <f>工程量核对表!C88</f>
        <v>m</v>
      </c>
      <c r="D89" s="213">
        <v>8500</v>
      </c>
      <c r="E89" s="213">
        <v>125</v>
      </c>
      <c r="F89" s="213"/>
      <c r="G89" s="213">
        <v>1062500</v>
      </c>
      <c r="H89" s="213"/>
      <c r="I89" s="213">
        <v>8500</v>
      </c>
      <c r="J89" s="213">
        <v>125</v>
      </c>
      <c r="K89" s="213"/>
      <c r="L89" s="213">
        <v>1062500</v>
      </c>
      <c r="M89" s="213"/>
      <c r="N89" s="213">
        <v>8500</v>
      </c>
      <c r="O89" s="213">
        <v>125</v>
      </c>
      <c r="P89" s="213"/>
      <c r="Q89" s="213">
        <f>N89*O89</f>
        <v>1062500</v>
      </c>
      <c r="R89" s="235"/>
      <c r="S89" s="225">
        <f t="shared" ref="S88:S98" si="47">Q89-G89</f>
        <v>0</v>
      </c>
      <c r="T89" s="224">
        <f t="shared" ref="T88:T98" si="48">Q89-L89</f>
        <v>0</v>
      </c>
      <c r="U89" s="236"/>
    </row>
    <row r="90" s="97" customFormat="1" ht="16.5" customHeight="1" spans="1:21">
      <c r="A90" s="211">
        <f>工程量核对表!A89</f>
        <v>3</v>
      </c>
      <c r="B90" s="212" t="str">
        <f>工程量核对表!B89</f>
        <v>DN100热镀锌钢管安装（供水主管）</v>
      </c>
      <c r="C90" s="137" t="str">
        <f>工程量核对表!C89</f>
        <v>m</v>
      </c>
      <c r="D90" s="213">
        <v>2500</v>
      </c>
      <c r="E90" s="213">
        <v>93</v>
      </c>
      <c r="F90" s="213"/>
      <c r="G90" s="213">
        <v>232500</v>
      </c>
      <c r="H90" s="213"/>
      <c r="I90" s="213">
        <v>2500</v>
      </c>
      <c r="J90" s="213">
        <v>93</v>
      </c>
      <c r="K90" s="213"/>
      <c r="L90" s="213">
        <v>232500</v>
      </c>
      <c r="M90" s="213"/>
      <c r="N90" s="213">
        <v>2500</v>
      </c>
      <c r="O90" s="213">
        <v>93</v>
      </c>
      <c r="P90" s="213"/>
      <c r="Q90" s="213">
        <f t="shared" ref="Q89:Q96" si="49">N90*O90</f>
        <v>232500</v>
      </c>
      <c r="R90" s="235"/>
      <c r="S90" s="225">
        <f t="shared" si="47"/>
        <v>0</v>
      </c>
      <c r="T90" s="224">
        <f t="shared" si="48"/>
        <v>0</v>
      </c>
      <c r="U90" s="236"/>
    </row>
    <row r="91" s="97" customFormat="1" ht="16.5" customHeight="1" spans="1:21">
      <c r="A91" s="211">
        <f>工程量核对表!A90</f>
        <v>4</v>
      </c>
      <c r="B91" s="212" t="str">
        <f>工程量核对表!B90</f>
        <v>dn63mmPE管安装（供水主管）</v>
      </c>
      <c r="C91" s="137" t="str">
        <f>工程量核对表!C90</f>
        <v>m</v>
      </c>
      <c r="D91" s="213">
        <v>5500</v>
      </c>
      <c r="E91" s="213">
        <v>25.17</v>
      </c>
      <c r="F91" s="213"/>
      <c r="G91" s="213">
        <v>138435</v>
      </c>
      <c r="H91" s="213"/>
      <c r="I91" s="213">
        <v>4500</v>
      </c>
      <c r="J91" s="213">
        <v>23.3</v>
      </c>
      <c r="K91" s="223"/>
      <c r="L91" s="213">
        <f t="shared" ref="L91:L97" si="50">I91*J91</f>
        <v>104850</v>
      </c>
      <c r="M91" s="213"/>
      <c r="N91" s="213">
        <v>4500</v>
      </c>
      <c r="O91" s="213">
        <v>23.3</v>
      </c>
      <c r="P91" s="213"/>
      <c r="Q91" s="213">
        <f t="shared" si="49"/>
        <v>104850</v>
      </c>
      <c r="R91" s="235"/>
      <c r="S91" s="225">
        <f t="shared" si="47"/>
        <v>-33585</v>
      </c>
      <c r="T91" s="224">
        <f t="shared" si="48"/>
        <v>0</v>
      </c>
      <c r="U91" s="236"/>
    </row>
    <row r="92" s="97" customFormat="1" ht="16.5" customHeight="1" spans="1:21">
      <c r="A92" s="211">
        <f>工程量核对表!A91</f>
        <v>5</v>
      </c>
      <c r="B92" s="212" t="str">
        <f>工程量核对表!B91</f>
        <v>dn50mmPE管安装（供水主管）</v>
      </c>
      <c r="C92" s="137" t="str">
        <f>工程量核对表!C91</f>
        <v>m</v>
      </c>
      <c r="D92" s="213">
        <v>2400</v>
      </c>
      <c r="E92" s="213">
        <v>15.7</v>
      </c>
      <c r="F92" s="213"/>
      <c r="G92" s="213">
        <v>37680</v>
      </c>
      <c r="H92" s="213"/>
      <c r="I92" s="213">
        <v>1200</v>
      </c>
      <c r="J92" s="213">
        <v>15.7</v>
      </c>
      <c r="K92" s="223"/>
      <c r="L92" s="213">
        <f t="shared" si="50"/>
        <v>18840</v>
      </c>
      <c r="M92" s="213"/>
      <c r="N92" s="213">
        <v>1200</v>
      </c>
      <c r="O92" s="213">
        <v>15.7</v>
      </c>
      <c r="P92" s="213"/>
      <c r="Q92" s="213">
        <f t="shared" si="49"/>
        <v>18840</v>
      </c>
      <c r="R92" s="235"/>
      <c r="S92" s="225">
        <f t="shared" si="47"/>
        <v>-18840</v>
      </c>
      <c r="T92" s="224">
        <f t="shared" si="48"/>
        <v>0</v>
      </c>
      <c r="U92" s="236"/>
    </row>
    <row r="93" s="97" customFormat="1" ht="16.5" customHeight="1" spans="1:21">
      <c r="A93" s="211">
        <f>工程量核对表!A92</f>
        <v>6</v>
      </c>
      <c r="B93" s="212" t="str">
        <f>工程量核对表!B92</f>
        <v>dn40mmPE管安装（供水主管）</v>
      </c>
      <c r="C93" s="137" t="str">
        <f>工程量核对表!C92</f>
        <v>m</v>
      </c>
      <c r="D93" s="213">
        <v>2900</v>
      </c>
      <c r="E93" s="213">
        <v>10.16</v>
      </c>
      <c r="F93" s="213"/>
      <c r="G93" s="213">
        <v>29464</v>
      </c>
      <c r="H93" s="213"/>
      <c r="I93" s="213">
        <v>2000</v>
      </c>
      <c r="J93" s="213">
        <v>10.16</v>
      </c>
      <c r="K93" s="223"/>
      <c r="L93" s="213">
        <f t="shared" si="50"/>
        <v>20320</v>
      </c>
      <c r="M93" s="213"/>
      <c r="N93" s="213">
        <v>2000</v>
      </c>
      <c r="O93" s="213">
        <v>10.16</v>
      </c>
      <c r="P93" s="213"/>
      <c r="Q93" s="213">
        <f t="shared" si="49"/>
        <v>20320</v>
      </c>
      <c r="R93" s="235"/>
      <c r="S93" s="225">
        <f t="shared" si="47"/>
        <v>-9144</v>
      </c>
      <c r="T93" s="224">
        <f t="shared" si="48"/>
        <v>0</v>
      </c>
      <c r="U93" s="236"/>
    </row>
    <row r="94" s="97" customFormat="1" ht="16.5" customHeight="1" spans="1:21">
      <c r="A94" s="211">
        <f>工程量核对表!A93</f>
        <v>7</v>
      </c>
      <c r="B94" s="212" t="str">
        <f>工程量核对表!B93</f>
        <v>dn32mmPE管安装（供水主管）</v>
      </c>
      <c r="C94" s="137" t="str">
        <f>工程量核对表!C93</f>
        <v>m</v>
      </c>
      <c r="D94" s="213">
        <v>4500</v>
      </c>
      <c r="E94" s="213">
        <v>6.7</v>
      </c>
      <c r="F94" s="213"/>
      <c r="G94" s="213">
        <v>30150</v>
      </c>
      <c r="H94" s="213"/>
      <c r="I94" s="213">
        <v>3800</v>
      </c>
      <c r="J94" s="213">
        <v>6.7</v>
      </c>
      <c r="K94" s="223"/>
      <c r="L94" s="213">
        <f t="shared" si="50"/>
        <v>25460</v>
      </c>
      <c r="M94" s="213"/>
      <c r="N94" s="213">
        <v>3800</v>
      </c>
      <c r="O94" s="213">
        <v>6.7</v>
      </c>
      <c r="P94" s="213"/>
      <c r="Q94" s="213">
        <f t="shared" si="49"/>
        <v>25460</v>
      </c>
      <c r="R94" s="235"/>
      <c r="S94" s="225">
        <f t="shared" si="47"/>
        <v>-4690</v>
      </c>
      <c r="T94" s="224">
        <f t="shared" si="48"/>
        <v>0</v>
      </c>
      <c r="U94" s="236"/>
    </row>
    <row r="95" s="97" customFormat="1" ht="16.5" customHeight="1" spans="1:21">
      <c r="A95" s="211">
        <f>工程量核对表!A94</f>
        <v>8</v>
      </c>
      <c r="B95" s="212" t="str">
        <f>工程量核对表!B94</f>
        <v>dn25mmPE管安装（供水主管）</v>
      </c>
      <c r="C95" s="137" t="str">
        <f>工程量核对表!C94</f>
        <v>m</v>
      </c>
      <c r="D95" s="213">
        <v>6000</v>
      </c>
      <c r="E95" s="213">
        <v>4.17</v>
      </c>
      <c r="F95" s="213"/>
      <c r="G95" s="213">
        <v>25020</v>
      </c>
      <c r="H95" s="213"/>
      <c r="I95" s="213">
        <v>6000</v>
      </c>
      <c r="J95" s="213">
        <v>4.17</v>
      </c>
      <c r="K95" s="223"/>
      <c r="L95" s="213">
        <f t="shared" si="50"/>
        <v>25020</v>
      </c>
      <c r="M95" s="213"/>
      <c r="N95" s="213">
        <v>6000</v>
      </c>
      <c r="O95" s="213">
        <v>4.17</v>
      </c>
      <c r="P95" s="213"/>
      <c r="Q95" s="213">
        <f t="shared" si="49"/>
        <v>25020</v>
      </c>
      <c r="R95" s="235"/>
      <c r="S95" s="225">
        <f t="shared" si="47"/>
        <v>0</v>
      </c>
      <c r="T95" s="224">
        <f t="shared" si="48"/>
        <v>0</v>
      </c>
      <c r="U95" s="236"/>
    </row>
    <row r="96" s="97" customFormat="1" ht="16.5" customHeight="1" spans="1:21">
      <c r="A96" s="211">
        <f>工程量核对表!A95</f>
        <v>9</v>
      </c>
      <c r="B96" s="212" t="str">
        <f>工程量核对表!B95</f>
        <v>dn20mmPE管安装（下户管）</v>
      </c>
      <c r="C96" s="137" t="str">
        <f>工程量核对表!C95</f>
        <v>m</v>
      </c>
      <c r="D96" s="213">
        <v>33000</v>
      </c>
      <c r="E96" s="213">
        <v>3.47</v>
      </c>
      <c r="F96" s="213"/>
      <c r="G96" s="213">
        <v>114510</v>
      </c>
      <c r="H96" s="213"/>
      <c r="I96" s="213">
        <v>13000</v>
      </c>
      <c r="J96" s="213">
        <v>3.47</v>
      </c>
      <c r="K96" s="223"/>
      <c r="L96" s="213">
        <f t="shared" si="50"/>
        <v>45110</v>
      </c>
      <c r="M96" s="213"/>
      <c r="N96" s="213">
        <v>13000</v>
      </c>
      <c r="O96" s="213">
        <v>3.47</v>
      </c>
      <c r="P96" s="213"/>
      <c r="Q96" s="213">
        <f t="shared" si="49"/>
        <v>45110</v>
      </c>
      <c r="R96" s="235"/>
      <c r="S96" s="225">
        <f t="shared" si="47"/>
        <v>-69400</v>
      </c>
      <c r="T96" s="224">
        <f t="shared" si="48"/>
        <v>0</v>
      </c>
      <c r="U96" s="236"/>
    </row>
    <row r="97" s="97" customFormat="1" ht="16.5" customHeight="1" spans="1:21">
      <c r="A97" s="211">
        <f>工程量核对表!A96</f>
        <v>10</v>
      </c>
      <c r="B97" s="212" t="str">
        <f>工程量核对表!B96</f>
        <v>各类管件</v>
      </c>
      <c r="C97" s="137" t="s">
        <v>58</v>
      </c>
      <c r="D97" s="213">
        <v>1</v>
      </c>
      <c r="E97" s="213">
        <v>31897.02</v>
      </c>
      <c r="F97" s="213"/>
      <c r="G97" s="213">
        <v>31897.02</v>
      </c>
      <c r="H97" s="213"/>
      <c r="I97" s="213">
        <v>1</v>
      </c>
      <c r="J97" s="223">
        <v>5724.58</v>
      </c>
      <c r="K97" s="223"/>
      <c r="L97" s="213">
        <f t="shared" si="50"/>
        <v>5724.58</v>
      </c>
      <c r="M97" s="213"/>
      <c r="N97" s="213">
        <v>1</v>
      </c>
      <c r="O97" s="223">
        <v>5724.58</v>
      </c>
      <c r="P97" s="213"/>
      <c r="Q97" s="213">
        <f>O97</f>
        <v>5724.58</v>
      </c>
      <c r="R97" s="235"/>
      <c r="S97" s="225">
        <f t="shared" si="47"/>
        <v>-26172.44</v>
      </c>
      <c r="T97" s="224">
        <f t="shared" si="48"/>
        <v>0</v>
      </c>
      <c r="U97" s="236"/>
    </row>
    <row r="98" s="96" customFormat="1" ht="16.5" customHeight="1" spans="1:21">
      <c r="A98" s="174"/>
      <c r="B98" s="173" t="s">
        <v>59</v>
      </c>
      <c r="C98" s="174"/>
      <c r="D98" s="237">
        <v>106371.11</v>
      </c>
      <c r="E98" s="238"/>
      <c r="F98" s="238"/>
      <c r="G98" s="238"/>
      <c r="H98" s="239"/>
      <c r="I98" s="237">
        <v>35453.49</v>
      </c>
      <c r="J98" s="238"/>
      <c r="K98" s="238"/>
      <c r="L98" s="238"/>
      <c r="M98" s="239"/>
      <c r="N98" s="237">
        <v>35453.49</v>
      </c>
      <c r="O98" s="238"/>
      <c r="P98" s="238"/>
      <c r="Q98" s="238"/>
      <c r="R98" s="257"/>
      <c r="S98" s="258">
        <f>N98-D98</f>
        <v>-70917.62</v>
      </c>
      <c r="T98" s="218">
        <f>N98-I98</f>
        <v>0</v>
      </c>
      <c r="U98" s="232" t="s">
        <v>39</v>
      </c>
    </row>
    <row r="99" s="96" customFormat="1" ht="30" customHeight="1" spans="1:23">
      <c r="A99" s="240"/>
      <c r="B99" s="241" t="s">
        <v>37</v>
      </c>
      <c r="C99" s="137"/>
      <c r="D99" s="242">
        <f>G6+G68+H68+D98</f>
        <v>2470173.07</v>
      </c>
      <c r="E99" s="243"/>
      <c r="F99" s="243"/>
      <c r="G99" s="243"/>
      <c r="H99" s="244"/>
      <c r="I99" s="242">
        <f>L6+L68+M68+I98</f>
        <v>2493516.991</v>
      </c>
      <c r="J99" s="243"/>
      <c r="K99" s="243"/>
      <c r="L99" s="243"/>
      <c r="M99" s="244"/>
      <c r="N99" s="242">
        <f ca="1">Q6+Q68+R68+N98</f>
        <v>2415148.01170798</v>
      </c>
      <c r="O99" s="243"/>
      <c r="P99" s="243"/>
      <c r="Q99" s="243"/>
      <c r="R99" s="244"/>
      <c r="S99" s="259">
        <f ca="1" t="shared" ref="S99:S103" si="51">N99-D99</f>
        <v>-55025.0582920192</v>
      </c>
      <c r="T99" s="260">
        <f ca="1" t="shared" ref="T99:T103" si="52">N99-I99</f>
        <v>-78368.9792920193</v>
      </c>
      <c r="U99" s="236"/>
      <c r="W99" s="162"/>
    </row>
    <row r="100" s="97" customFormat="1" ht="20" customHeight="1" spans="1:21">
      <c r="A100" s="211"/>
      <c r="B100" s="245" t="s">
        <v>38</v>
      </c>
      <c r="C100" s="137" t="s">
        <v>35</v>
      </c>
      <c r="D100" s="246">
        <f>G87</f>
        <v>1958156.02</v>
      </c>
      <c r="E100" s="247"/>
      <c r="F100" s="247"/>
      <c r="G100" s="247"/>
      <c r="H100" s="248"/>
      <c r="I100" s="246">
        <f>L87</f>
        <v>1796324.58</v>
      </c>
      <c r="J100" s="247"/>
      <c r="K100" s="247"/>
      <c r="L100" s="247"/>
      <c r="M100" s="248"/>
      <c r="N100" s="246">
        <f>Q87</f>
        <v>1796324.58</v>
      </c>
      <c r="O100" s="247"/>
      <c r="P100" s="247"/>
      <c r="Q100" s="247"/>
      <c r="R100" s="248"/>
      <c r="S100" s="259">
        <f t="shared" si="51"/>
        <v>-161831.44</v>
      </c>
      <c r="T100" s="260">
        <f t="shared" si="52"/>
        <v>0</v>
      </c>
      <c r="U100" s="261" t="s">
        <v>39</v>
      </c>
    </row>
    <row r="101" s="97" customFormat="1" ht="20" customHeight="1" spans="1:21">
      <c r="A101" s="211"/>
      <c r="B101" s="245" t="s">
        <v>40</v>
      </c>
      <c r="C101" s="137" t="s">
        <v>35</v>
      </c>
      <c r="D101" s="246">
        <f>D98</f>
        <v>106371.11</v>
      </c>
      <c r="E101" s="247"/>
      <c r="F101" s="247"/>
      <c r="G101" s="247"/>
      <c r="H101" s="248"/>
      <c r="I101" s="246">
        <f>I98</f>
        <v>35453.49</v>
      </c>
      <c r="J101" s="247"/>
      <c r="K101" s="247"/>
      <c r="L101" s="247"/>
      <c r="M101" s="248"/>
      <c r="N101" s="246">
        <f>N98</f>
        <v>35453.49</v>
      </c>
      <c r="O101" s="247"/>
      <c r="P101" s="247"/>
      <c r="Q101" s="247"/>
      <c r="R101" s="248"/>
      <c r="S101" s="259">
        <f t="shared" si="51"/>
        <v>-70917.62</v>
      </c>
      <c r="T101" s="260">
        <f t="shared" si="52"/>
        <v>0</v>
      </c>
      <c r="U101" s="262"/>
    </row>
    <row r="102" s="97" customFormat="1" ht="20" customHeight="1" spans="1:21">
      <c r="A102" s="211"/>
      <c r="B102" s="245" t="s">
        <v>41</v>
      </c>
      <c r="C102" s="137" t="s">
        <v>35</v>
      </c>
      <c r="D102" s="246">
        <f>(D99-D100-D101)*0.01</f>
        <v>4056.4594</v>
      </c>
      <c r="E102" s="247"/>
      <c r="F102" s="247"/>
      <c r="G102" s="247"/>
      <c r="H102" s="248"/>
      <c r="I102" s="246"/>
      <c r="J102" s="247"/>
      <c r="K102" s="247"/>
      <c r="L102" s="247"/>
      <c r="M102" s="248"/>
      <c r="N102" s="246">
        <f ca="1">(N99-N100-N101)*0.01</f>
        <v>5833.69941707981</v>
      </c>
      <c r="O102" s="247"/>
      <c r="P102" s="247"/>
      <c r="Q102" s="247"/>
      <c r="R102" s="248"/>
      <c r="S102" s="259">
        <f ca="1" t="shared" si="51"/>
        <v>1777.24001707981</v>
      </c>
      <c r="T102" s="260">
        <f ca="1" t="shared" si="52"/>
        <v>5833.69941707981</v>
      </c>
      <c r="U102" s="236"/>
    </row>
    <row r="103" s="97" customFormat="1" ht="30" customHeight="1" spans="1:23">
      <c r="A103" s="211"/>
      <c r="B103" s="249" t="s">
        <v>43</v>
      </c>
      <c r="C103" s="137"/>
      <c r="D103" s="246">
        <f>ROUND(D99-(D100+D101+D102),0)</f>
        <v>401589</v>
      </c>
      <c r="E103" s="247"/>
      <c r="F103" s="247"/>
      <c r="G103" s="247"/>
      <c r="H103" s="248"/>
      <c r="I103" s="246">
        <f>ROUND(I99-(I100+I101+I102),0)</f>
        <v>661739</v>
      </c>
      <c r="J103" s="247"/>
      <c r="K103" s="247"/>
      <c r="L103" s="247"/>
      <c r="M103" s="248"/>
      <c r="N103" s="246">
        <f ca="1">ROUND(N99-(N100+N101+N102),0)</f>
        <v>577536</v>
      </c>
      <c r="O103" s="247"/>
      <c r="P103" s="247"/>
      <c r="Q103" s="247"/>
      <c r="R103" s="248"/>
      <c r="S103" s="259">
        <f ca="1" t="shared" si="51"/>
        <v>175947</v>
      </c>
      <c r="T103" s="260">
        <f ca="1" t="shared" si="52"/>
        <v>-84203</v>
      </c>
      <c r="U103" s="236"/>
      <c r="V103" s="98"/>
      <c r="W103" s="98"/>
    </row>
    <row r="104" spans="1:20">
      <c r="A104" s="250"/>
      <c r="B104" s="251"/>
      <c r="C104" s="252"/>
      <c r="D104" s="253"/>
      <c r="E104" s="253"/>
      <c r="F104" s="253"/>
      <c r="G104" s="253"/>
      <c r="H104" s="254"/>
      <c r="I104" s="254"/>
      <c r="J104" s="254"/>
      <c r="K104" s="254"/>
      <c r="L104" s="254"/>
      <c r="M104" s="254"/>
      <c r="N104" s="256"/>
      <c r="O104" s="256"/>
      <c r="P104" s="256"/>
      <c r="Q104" s="256"/>
      <c r="R104" s="263"/>
      <c r="S104" s="264"/>
      <c r="T104" s="265"/>
    </row>
    <row r="105" spans="1:20">
      <c r="A105" s="250"/>
      <c r="B105" s="251"/>
      <c r="C105" s="252"/>
      <c r="D105" s="253"/>
      <c r="E105" s="255"/>
      <c r="F105" s="255"/>
      <c r="G105" s="253"/>
      <c r="H105" s="254"/>
      <c r="I105" s="254"/>
      <c r="J105" s="254"/>
      <c r="K105" s="254"/>
      <c r="L105" s="254"/>
      <c r="M105" s="254"/>
      <c r="N105" s="256"/>
      <c r="O105" s="256"/>
      <c r="P105" s="256"/>
      <c r="Q105" s="256"/>
      <c r="R105" s="263"/>
      <c r="S105" s="264"/>
      <c r="T105" s="265"/>
    </row>
    <row r="106" spans="1:20">
      <c r="A106" s="250"/>
      <c r="B106" s="251"/>
      <c r="C106" s="252"/>
      <c r="D106" s="253"/>
      <c r="E106" s="253"/>
      <c r="F106" s="253"/>
      <c r="G106" s="253"/>
      <c r="H106" s="254"/>
      <c r="I106" s="254"/>
      <c r="J106" s="254"/>
      <c r="K106" s="254"/>
      <c r="L106" s="254"/>
      <c r="M106" s="254"/>
      <c r="N106" s="256"/>
      <c r="O106" s="256"/>
      <c r="P106" s="256"/>
      <c r="Q106" s="256"/>
      <c r="R106" s="263"/>
      <c r="S106" s="264"/>
      <c r="T106" s="265"/>
    </row>
    <row r="107" spans="1:20">
      <c r="A107" s="250"/>
      <c r="B107" s="251"/>
      <c r="C107" s="252"/>
      <c r="D107" s="253"/>
      <c r="E107" s="253"/>
      <c r="F107" s="253"/>
      <c r="G107" s="253"/>
      <c r="H107" s="254"/>
      <c r="I107" s="254"/>
      <c r="J107" s="254"/>
      <c r="K107" s="254"/>
      <c r="L107" s="254"/>
      <c r="M107" s="254"/>
      <c r="N107" s="256"/>
      <c r="O107" s="256"/>
      <c r="P107" s="256"/>
      <c r="Q107" s="256"/>
      <c r="R107" s="263"/>
      <c r="S107" s="264"/>
      <c r="T107" s="265"/>
    </row>
    <row r="108" spans="1:20">
      <c r="A108" s="250"/>
      <c r="B108" s="251"/>
      <c r="C108" s="252"/>
      <c r="D108" s="253"/>
      <c r="E108" s="253"/>
      <c r="F108" s="253"/>
      <c r="G108" s="253"/>
      <c r="H108" s="254"/>
      <c r="I108" s="254"/>
      <c r="J108" s="254"/>
      <c r="K108" s="254"/>
      <c r="L108" s="254"/>
      <c r="M108" s="254"/>
      <c r="N108" s="256"/>
      <c r="O108" s="256"/>
      <c r="P108" s="256"/>
      <c r="Q108" s="256"/>
      <c r="R108" s="263"/>
      <c r="S108" s="264"/>
      <c r="T108" s="265"/>
    </row>
    <row r="109" spans="1:20">
      <c r="A109" s="250"/>
      <c r="B109" s="251"/>
      <c r="C109" s="252"/>
      <c r="D109" s="253"/>
      <c r="E109" s="253"/>
      <c r="F109" s="253"/>
      <c r="G109" s="253"/>
      <c r="H109" s="254"/>
      <c r="I109" s="254"/>
      <c r="J109" s="254"/>
      <c r="K109" s="254"/>
      <c r="L109" s="254"/>
      <c r="M109" s="254"/>
      <c r="N109" s="256"/>
      <c r="O109" s="256"/>
      <c r="P109" s="256"/>
      <c r="Q109" s="256"/>
      <c r="R109" s="263"/>
      <c r="S109" s="264"/>
      <c r="T109" s="265"/>
    </row>
    <row r="110" spans="1:20">
      <c r="A110" s="250"/>
      <c r="B110" s="251"/>
      <c r="C110" s="252"/>
      <c r="D110" s="253"/>
      <c r="E110" s="253"/>
      <c r="F110" s="253"/>
      <c r="G110" s="253"/>
      <c r="H110" s="254"/>
      <c r="I110" s="254"/>
      <c r="J110" s="254"/>
      <c r="K110" s="254"/>
      <c r="L110" s="254"/>
      <c r="M110" s="254"/>
      <c r="N110" s="256"/>
      <c r="O110" s="256"/>
      <c r="P110" s="256"/>
      <c r="Q110" s="256"/>
      <c r="R110" s="263"/>
      <c r="S110" s="264"/>
      <c r="T110" s="265"/>
    </row>
    <row r="111" spans="1:20">
      <c r="A111" s="250"/>
      <c r="B111" s="251"/>
      <c r="C111" s="252"/>
      <c r="D111" s="253"/>
      <c r="E111" s="253"/>
      <c r="F111" s="253"/>
      <c r="G111" s="253"/>
      <c r="H111" s="254"/>
      <c r="I111" s="254"/>
      <c r="J111" s="254"/>
      <c r="K111" s="254"/>
      <c r="L111" s="254"/>
      <c r="M111" s="254"/>
      <c r="N111" s="256"/>
      <c r="O111" s="256"/>
      <c r="P111" s="256"/>
      <c r="Q111" s="256"/>
      <c r="R111" s="263"/>
      <c r="S111" s="264"/>
      <c r="T111" s="265"/>
    </row>
    <row r="112" spans="1:20">
      <c r="A112" s="250"/>
      <c r="B112" s="251"/>
      <c r="C112" s="252"/>
      <c r="D112" s="253"/>
      <c r="E112" s="253"/>
      <c r="F112" s="253"/>
      <c r="G112" s="253"/>
      <c r="H112" s="254"/>
      <c r="I112" s="254"/>
      <c r="J112" s="254"/>
      <c r="K112" s="254"/>
      <c r="L112" s="254"/>
      <c r="M112" s="254"/>
      <c r="N112" s="256"/>
      <c r="O112" s="256"/>
      <c r="P112" s="256"/>
      <c r="Q112" s="256"/>
      <c r="R112" s="263"/>
      <c r="S112" s="264"/>
      <c r="T112" s="265"/>
    </row>
    <row r="113" spans="1:20">
      <c r="A113" s="250"/>
      <c r="B113" s="251"/>
      <c r="C113" s="252"/>
      <c r="D113" s="253"/>
      <c r="E113" s="253"/>
      <c r="F113" s="253"/>
      <c r="G113" s="253"/>
      <c r="H113" s="254"/>
      <c r="I113" s="254"/>
      <c r="J113" s="254"/>
      <c r="K113" s="254"/>
      <c r="L113" s="254"/>
      <c r="M113" s="254"/>
      <c r="N113" s="256"/>
      <c r="O113" s="256"/>
      <c r="P113" s="256"/>
      <c r="Q113" s="256"/>
      <c r="R113" s="263"/>
      <c r="S113" s="264"/>
      <c r="T113" s="265"/>
    </row>
    <row r="114" spans="1:20">
      <c r="A114" s="250"/>
      <c r="B114" s="251"/>
      <c r="C114" s="252"/>
      <c r="D114" s="253"/>
      <c r="E114" s="253"/>
      <c r="F114" s="253"/>
      <c r="G114" s="253"/>
      <c r="H114" s="254"/>
      <c r="I114" s="254"/>
      <c r="J114" s="254"/>
      <c r="K114" s="254"/>
      <c r="L114" s="254"/>
      <c r="M114" s="254"/>
      <c r="N114" s="256"/>
      <c r="O114" s="256"/>
      <c r="P114" s="256"/>
      <c r="Q114" s="256"/>
      <c r="R114" s="263"/>
      <c r="S114" s="264"/>
      <c r="T114" s="265"/>
    </row>
    <row r="115" spans="1:20">
      <c r="A115" s="250"/>
      <c r="B115" s="251"/>
      <c r="C115" s="252"/>
      <c r="D115" s="253"/>
      <c r="E115" s="253"/>
      <c r="F115" s="253"/>
      <c r="G115" s="253"/>
      <c r="H115" s="254"/>
      <c r="I115" s="254"/>
      <c r="J115" s="254"/>
      <c r="K115" s="254"/>
      <c r="L115" s="254"/>
      <c r="M115" s="254"/>
      <c r="N115" s="256"/>
      <c r="O115" s="256"/>
      <c r="P115" s="256"/>
      <c r="Q115" s="256"/>
      <c r="R115" s="263"/>
      <c r="S115" s="264"/>
      <c r="T115" s="265"/>
    </row>
  </sheetData>
  <autoFilter ref="A3:U103">
    <extLst/>
  </autoFilter>
  <mergeCells count="40">
    <mergeCell ref="A1:U1"/>
    <mergeCell ref="A2:U2"/>
    <mergeCell ref="D3:H3"/>
    <mergeCell ref="I3:M3"/>
    <mergeCell ref="N3:R3"/>
    <mergeCell ref="S3:T3"/>
    <mergeCell ref="E4:F4"/>
    <mergeCell ref="G4:H4"/>
    <mergeCell ref="J4:K4"/>
    <mergeCell ref="L4:M4"/>
    <mergeCell ref="O4:P4"/>
    <mergeCell ref="Q4:R4"/>
    <mergeCell ref="D98:G98"/>
    <mergeCell ref="I98:L98"/>
    <mergeCell ref="N98:Q98"/>
    <mergeCell ref="D99:G99"/>
    <mergeCell ref="I99:L99"/>
    <mergeCell ref="N99:Q99"/>
    <mergeCell ref="D100:G100"/>
    <mergeCell ref="I100:L100"/>
    <mergeCell ref="N100:Q100"/>
    <mergeCell ref="D101:G101"/>
    <mergeCell ref="I101:L101"/>
    <mergeCell ref="N101:Q101"/>
    <mergeCell ref="D102:G102"/>
    <mergeCell ref="I102:L102"/>
    <mergeCell ref="N102:Q102"/>
    <mergeCell ref="D103:G103"/>
    <mergeCell ref="I103:L103"/>
    <mergeCell ref="N103:Q103"/>
    <mergeCell ref="A3:A5"/>
    <mergeCell ref="B3:B5"/>
    <mergeCell ref="C3:C5"/>
    <mergeCell ref="D4:D5"/>
    <mergeCell ref="I4:I5"/>
    <mergeCell ref="N4:N5"/>
    <mergeCell ref="S4:S5"/>
    <mergeCell ref="T4:T5"/>
    <mergeCell ref="U3:U5"/>
    <mergeCell ref="U100:U101"/>
  </mergeCells>
  <pageMargins left="0.629861111111111" right="0.393055555555556" top="0.550694444444444" bottom="0.511805555555556" header="0.314583333333333" footer="0.314583333333333"/>
  <pageSetup paperSize="9" scale="62" fitToHeight="0" orientation="landscape" horizontalDpi="600"/>
  <headerFooter>
    <oddHeader>&amp;R&amp;10
</oddHeader>
    <oddFooter>&amp;C&amp;"楷体"第 &amp;P 页，共 &amp;N 页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6"/>
  <sheetViews>
    <sheetView workbookViewId="0">
      <pane ySplit="4" topLeftCell="A5" activePane="bottomLeft" state="frozen"/>
      <selection/>
      <selection pane="bottomLeft" activeCell="B19" sqref="B19"/>
    </sheetView>
  </sheetViews>
  <sheetFormatPr defaultColWidth="9" defaultRowHeight="14.25"/>
  <cols>
    <col min="1" max="1" width="7.125" style="97" customWidth="1"/>
    <col min="2" max="2" width="31.5" style="99" customWidth="1"/>
    <col min="3" max="3" width="5.775" style="97" customWidth="1"/>
    <col min="4" max="4" width="8.775" style="100" customWidth="1"/>
    <col min="5" max="5" width="8.775" style="101" customWidth="1"/>
    <col min="6" max="6" width="8.775" style="102" customWidth="1"/>
    <col min="7" max="8" width="9.55833333333333" style="103" customWidth="1"/>
    <col min="9" max="9" width="9.55833333333333" style="104" customWidth="1"/>
    <col min="10" max="10" width="26.25" style="105" hidden="1" customWidth="1"/>
    <col min="11" max="11" width="12.125" style="105" hidden="1" customWidth="1"/>
    <col min="12" max="12" width="11.25" style="105" hidden="1" customWidth="1"/>
    <col min="13" max="13" width="9" style="105"/>
    <col min="14" max="14" width="12.625" style="106"/>
    <col min="15" max="16384" width="9" style="98"/>
  </cols>
  <sheetData>
    <row r="1" s="92" customFormat="1" ht="48" customHeight="1" spans="1:14">
      <c r="A1" s="107" t="s">
        <v>60</v>
      </c>
      <c r="B1" s="108"/>
      <c r="C1" s="108"/>
      <c r="D1" s="109"/>
      <c r="E1" s="110"/>
      <c r="F1" s="111"/>
      <c r="G1" s="109"/>
      <c r="H1" s="109"/>
      <c r="I1" s="147"/>
      <c r="J1" s="148"/>
      <c r="K1" s="148"/>
      <c r="L1" s="148"/>
      <c r="M1" s="148"/>
      <c r="N1" s="149"/>
    </row>
    <row r="2" s="93" customFormat="1" ht="17" customHeight="1" spans="1:13">
      <c r="A2" s="36" t="s">
        <v>61</v>
      </c>
      <c r="B2" s="36"/>
      <c r="C2" s="36"/>
      <c r="D2" s="37"/>
      <c r="E2" s="37"/>
      <c r="F2" s="37"/>
      <c r="G2" s="37"/>
      <c r="H2" s="37"/>
      <c r="I2" s="37"/>
      <c r="J2" s="150"/>
      <c r="K2" s="150"/>
      <c r="L2" s="150"/>
      <c r="M2" s="151"/>
    </row>
    <row r="3" s="93" customFormat="1" ht="17" customHeight="1" spans="1:13">
      <c r="A3" s="112" t="s">
        <v>45</v>
      </c>
      <c r="B3" s="113" t="s">
        <v>24</v>
      </c>
      <c r="C3" s="113" t="s">
        <v>25</v>
      </c>
      <c r="D3" s="114" t="s">
        <v>62</v>
      </c>
      <c r="E3" s="115" t="s">
        <v>63</v>
      </c>
      <c r="F3" s="116" t="s">
        <v>64</v>
      </c>
      <c r="G3" s="117" t="s">
        <v>65</v>
      </c>
      <c r="H3" s="117"/>
      <c r="I3" s="152" t="s">
        <v>49</v>
      </c>
      <c r="J3" s="150"/>
      <c r="K3" s="150"/>
      <c r="L3" s="150"/>
      <c r="M3" s="151"/>
    </row>
    <row r="4" s="93" customFormat="1" ht="18" customHeight="1" spans="1:13">
      <c r="A4" s="118"/>
      <c r="B4" s="119"/>
      <c r="C4" s="119"/>
      <c r="D4" s="114"/>
      <c r="E4" s="115"/>
      <c r="F4" s="116"/>
      <c r="G4" s="120" t="s">
        <v>66</v>
      </c>
      <c r="H4" s="120" t="s">
        <v>67</v>
      </c>
      <c r="I4" s="152"/>
      <c r="J4" s="150"/>
      <c r="K4" s="150"/>
      <c r="L4" s="150"/>
      <c r="M4" s="151"/>
    </row>
    <row r="5" s="94" customFormat="1" ht="18" customHeight="1" spans="1:13">
      <c r="A5" s="121"/>
      <c r="B5" s="122" t="s">
        <v>55</v>
      </c>
      <c r="C5" s="123"/>
      <c r="D5" s="124"/>
      <c r="E5" s="125"/>
      <c r="F5" s="126"/>
      <c r="G5" s="127"/>
      <c r="H5" s="127"/>
      <c r="I5" s="153"/>
      <c r="J5" s="154"/>
      <c r="K5" s="154"/>
      <c r="L5" s="154"/>
      <c r="M5" s="155"/>
    </row>
    <row r="6" s="95" customFormat="1" ht="16.5" customHeight="1" spans="1:13">
      <c r="A6" s="128" t="str">
        <f>工程量计算稿!A5</f>
        <v>一</v>
      </c>
      <c r="B6" s="129" t="str">
        <f>工程量计算稿!B5</f>
        <v>调节池工程</v>
      </c>
      <c r="C6" s="130"/>
      <c r="D6" s="131"/>
      <c r="E6" s="132"/>
      <c r="F6" s="133"/>
      <c r="G6" s="134"/>
      <c r="H6" s="134"/>
      <c r="I6" s="156"/>
      <c r="J6" s="154"/>
      <c r="K6" s="154"/>
      <c r="L6" s="154"/>
      <c r="M6" s="157"/>
    </row>
    <row r="7" s="96" customFormat="1" ht="16.5" customHeight="1" spans="1:14">
      <c r="A7" s="135">
        <f>工程量计算稿!A6</f>
        <v>1</v>
      </c>
      <c r="B7" s="136" t="str">
        <f>工程量计算稿!B6</f>
        <v>土方开挖</v>
      </c>
      <c r="C7" s="137" t="str">
        <f>工程量计算稿!C6</f>
        <v>m3</v>
      </c>
      <c r="D7" s="138">
        <f>结算审核表!D8</f>
        <v>153.0751</v>
      </c>
      <c r="E7" s="139">
        <f>结算审核表!I8</f>
        <v>41.89</v>
      </c>
      <c r="F7" s="140">
        <f ca="1">工程量计算稿!E6</f>
        <v>41.40420956</v>
      </c>
      <c r="G7" s="141">
        <f ca="1" t="shared" ref="G7:G18" si="0">F7-D7</f>
        <v>-111.67089044</v>
      </c>
      <c r="H7" s="141">
        <f ca="1" t="shared" ref="H7:H18" si="1">F7-E7</f>
        <v>-0.485790439999995</v>
      </c>
      <c r="I7" s="158"/>
      <c r="J7" s="159" t="str">
        <f>B7</f>
        <v>土方开挖</v>
      </c>
      <c r="K7" s="150">
        <f ca="1">G7+G20+G44+G49+G52+G55</f>
        <v>3240.54362156</v>
      </c>
      <c r="L7" s="150">
        <f ca="1">H7+H20+H44+H49+H52+H55</f>
        <v>-359.37127844</v>
      </c>
      <c r="M7" s="150"/>
      <c r="N7" s="160"/>
    </row>
    <row r="8" s="96" customFormat="1" ht="16.5" customHeight="1" spans="1:13">
      <c r="A8" s="135">
        <f>工程量计算稿!A7</f>
        <v>2</v>
      </c>
      <c r="B8" s="136" t="str">
        <f>工程量计算稿!B7</f>
        <v>石方开挖</v>
      </c>
      <c r="C8" s="137" t="str">
        <f>工程量计算稿!C7</f>
        <v>m3</v>
      </c>
      <c r="D8" s="138">
        <f>结算审核表!D9</f>
        <v>102.05</v>
      </c>
      <c r="E8" s="139">
        <f>结算审核表!I9</f>
        <v>167.56</v>
      </c>
      <c r="F8" s="140">
        <f ca="1">工程量计算稿!E7</f>
        <v>165.61683824</v>
      </c>
      <c r="G8" s="141">
        <f ca="1" t="shared" si="0"/>
        <v>63.56683824</v>
      </c>
      <c r="H8" s="141">
        <f ca="1" t="shared" si="1"/>
        <v>-1.94316175999998</v>
      </c>
      <c r="I8" s="161"/>
      <c r="J8" s="159" t="str">
        <f>B8</f>
        <v>石方开挖</v>
      </c>
      <c r="K8" s="150">
        <f ca="1">G8+G21+G40+G45+G50</f>
        <v>682.47071824</v>
      </c>
      <c r="L8" s="150">
        <f ca="1">H8+H21+H40+H45+H50</f>
        <v>-56.22928176</v>
      </c>
      <c r="M8" s="162"/>
    </row>
    <row r="9" s="97" customFormat="1" ht="16.5" customHeight="1" spans="1:13">
      <c r="A9" s="135">
        <f>工程量计算稿!A8</f>
        <v>3</v>
      </c>
      <c r="B9" s="136" t="str">
        <f>工程量计算稿!B8</f>
        <v>土石方回填</v>
      </c>
      <c r="C9" s="137" t="str">
        <f>工程量计算稿!C8</f>
        <v>m3</v>
      </c>
      <c r="D9" s="138">
        <f>结算审核表!D10</f>
        <v>68.8837</v>
      </c>
      <c r="E9" s="139">
        <f>结算审核表!I10</f>
        <v>36.6</v>
      </c>
      <c r="F9" s="140">
        <f ca="1">工程量计算稿!E8</f>
        <v>33.876989</v>
      </c>
      <c r="G9" s="141">
        <f ca="1" t="shared" si="0"/>
        <v>-35.006711</v>
      </c>
      <c r="H9" s="141">
        <f ca="1" t="shared" si="1"/>
        <v>-2.72301099999999</v>
      </c>
      <c r="I9" s="158"/>
      <c r="J9" s="159" t="str">
        <f>B9</f>
        <v>土石方回填</v>
      </c>
      <c r="K9" s="150">
        <f ca="1">G9+G53</f>
        <v>2009.886657</v>
      </c>
      <c r="L9" s="150">
        <f ca="1">H9+H53</f>
        <v>-261.709643</v>
      </c>
      <c r="M9" s="163"/>
    </row>
    <row r="10" s="97" customFormat="1" ht="16.5" customHeight="1" spans="1:13">
      <c r="A10" s="135">
        <f>工程量计算稿!A9</f>
        <v>4</v>
      </c>
      <c r="B10" s="136" t="str">
        <f>工程量计算稿!B9</f>
        <v>底板C20砼 2级配 32.5水泥 粒径40mm</v>
      </c>
      <c r="C10" s="137" t="str">
        <f>工程量计算稿!C9</f>
        <v>m3</v>
      </c>
      <c r="D10" s="138">
        <f>结算审核表!D11</f>
        <v>9.5377</v>
      </c>
      <c r="E10" s="139">
        <f>结算审核表!I11</f>
        <v>22.07</v>
      </c>
      <c r="F10" s="140">
        <f ca="1">工程量计算稿!E9</f>
        <v>21.4652912</v>
      </c>
      <c r="G10" s="141">
        <f ca="1" t="shared" si="0"/>
        <v>11.9275912</v>
      </c>
      <c r="H10" s="141">
        <f ca="1" t="shared" si="1"/>
        <v>-0.604708799999997</v>
      </c>
      <c r="I10" s="164"/>
      <c r="J10" s="159" t="s">
        <v>68</v>
      </c>
      <c r="K10" s="150">
        <f ca="1">G10</f>
        <v>11.9275912</v>
      </c>
      <c r="L10" s="150">
        <f ca="1">H10</f>
        <v>-0.604708799999997</v>
      </c>
      <c r="M10" s="163"/>
    </row>
    <row r="11" s="97" customFormat="1" ht="16.5" customHeight="1" spans="1:13">
      <c r="A11" s="135">
        <f>工程量计算稿!A10</f>
        <v>5</v>
      </c>
      <c r="B11" s="136" t="str">
        <f>工程量计算稿!B10</f>
        <v>顶板C25砼 2级配 32.5水泥 粒径40mm</v>
      </c>
      <c r="C11" s="137" t="str">
        <f>工程量计算稿!C10</f>
        <v>m3</v>
      </c>
      <c r="D11" s="138">
        <f>结算审核表!D12</f>
        <v>6.774</v>
      </c>
      <c r="E11" s="139">
        <f>结算审核表!I12</f>
        <v>12.16</v>
      </c>
      <c r="F11" s="140">
        <f ca="1">工程量计算稿!E10</f>
        <v>11.8232496</v>
      </c>
      <c r="G11" s="141">
        <f ca="1" t="shared" si="0"/>
        <v>5.0492496</v>
      </c>
      <c r="H11" s="141">
        <f ca="1" t="shared" si="1"/>
        <v>-0.3367504</v>
      </c>
      <c r="I11" s="165"/>
      <c r="J11" s="166" t="s">
        <v>69</v>
      </c>
      <c r="K11" s="150">
        <f ca="1">G11+G22+G23+G30+G31+G32+G41+G46+G57+G64+G58+G60</f>
        <v>220.756689080602</v>
      </c>
      <c r="L11" s="150">
        <f ca="1">H11+H22+H23+H30+H31+H32+H41+H46+H57+H64+H58+H60</f>
        <v>-34.7393109193979</v>
      </c>
      <c r="M11" s="163"/>
    </row>
    <row r="12" s="97" customFormat="1" ht="16.5" customHeight="1" spans="1:13">
      <c r="A12" s="135">
        <f>工程量计算稿!A11</f>
        <v>6</v>
      </c>
      <c r="B12" s="136" t="str">
        <f>工程量计算稿!B11</f>
        <v>M7.5砌砖</v>
      </c>
      <c r="C12" s="137" t="str">
        <f>工程量计算稿!C11</f>
        <v>m3</v>
      </c>
      <c r="D12" s="138">
        <f>结算审核表!D13</f>
        <v>22.3548</v>
      </c>
      <c r="E12" s="139">
        <f>结算审核表!I13</f>
        <v>21.26</v>
      </c>
      <c r="F12" s="140">
        <f ca="1">工程量计算稿!E11</f>
        <v>21.259422</v>
      </c>
      <c r="G12" s="141">
        <f ca="1" t="shared" si="0"/>
        <v>-1.095378</v>
      </c>
      <c r="H12" s="141">
        <f ca="1" t="shared" si="1"/>
        <v>-0.000578000000000856</v>
      </c>
      <c r="I12" s="158"/>
      <c r="J12" s="166" t="str">
        <f>B12</f>
        <v>M7.5砌砖</v>
      </c>
      <c r="K12" s="150">
        <f ca="1">G12+G24+G33</f>
        <v>41.067782</v>
      </c>
      <c r="L12" s="150">
        <f ca="1">H12+H24+H33</f>
        <v>-1.88741800000001</v>
      </c>
      <c r="M12" s="163"/>
    </row>
    <row r="13" s="97" customFormat="1" ht="16.5" customHeight="1" spans="1:13">
      <c r="A13" s="135">
        <f>工程量计算稿!A12</f>
        <v>7</v>
      </c>
      <c r="B13" s="136" t="str">
        <f>工程量计算稿!B12</f>
        <v>木模制安</v>
      </c>
      <c r="C13" s="137" t="str">
        <f>工程量计算稿!C12</f>
        <v>m2</v>
      </c>
      <c r="D13" s="138">
        <f>结算审核表!D14</f>
        <v>64.6352</v>
      </c>
      <c r="E13" s="139">
        <f>结算审核表!I14</f>
        <v>118.04</v>
      </c>
      <c r="F13" s="140">
        <f ca="1">工程量计算稿!E12</f>
        <v>79.10684</v>
      </c>
      <c r="G13" s="141">
        <f ca="1" t="shared" si="0"/>
        <v>14.47164</v>
      </c>
      <c r="H13" s="141">
        <f ca="1" t="shared" si="1"/>
        <v>-38.93316</v>
      </c>
      <c r="I13" s="164"/>
      <c r="J13" s="159" t="str">
        <f t="shared" ref="J13:J18" si="2">B13</f>
        <v>木模制安</v>
      </c>
      <c r="K13" s="150">
        <f ca="1">G13+G42+G56+G59+G61+G65</f>
        <v>156.76474</v>
      </c>
      <c r="L13" s="150">
        <f ca="1">H13+H42+H56+H59+H61+H65</f>
        <v>-181.12006</v>
      </c>
      <c r="M13" s="163"/>
    </row>
    <row r="14" s="97" customFormat="1" ht="16.5" customHeight="1" spans="1:13">
      <c r="A14" s="135">
        <f>工程量计算稿!A13</f>
        <v>8</v>
      </c>
      <c r="B14" s="136" t="str">
        <f>工程量计算稿!B13</f>
        <v>钢筋制安</v>
      </c>
      <c r="C14" s="137" t="str">
        <f>工程量计算稿!C13</f>
        <v>kg</v>
      </c>
      <c r="D14" s="138">
        <f>结算审核表!D15</f>
        <v>1328.2997</v>
      </c>
      <c r="E14" s="139">
        <f>结算审核表!I15</f>
        <v>2525.5</v>
      </c>
      <c r="F14" s="140">
        <f ca="1">工程量计算稿!E13</f>
        <v>1376.3381</v>
      </c>
      <c r="G14" s="142">
        <f ca="1" t="shared" si="0"/>
        <v>48.0384000000001</v>
      </c>
      <c r="H14" s="142">
        <f ca="1" t="shared" si="1"/>
        <v>-1149.1619</v>
      </c>
      <c r="I14" s="158"/>
      <c r="J14" s="159" t="str">
        <f t="shared" si="2"/>
        <v>钢筋制安</v>
      </c>
      <c r="K14" s="150">
        <f ca="1">G14+G25+G34+G47+G63*1000</f>
        <v>3945.659758</v>
      </c>
      <c r="L14" s="150">
        <f ca="1">H14+H25+H34+H47+H63*1000</f>
        <v>-1201.180542</v>
      </c>
      <c r="M14" s="163"/>
    </row>
    <row r="15" s="97" customFormat="1" ht="16.5" customHeight="1" spans="1:13">
      <c r="A15" s="135">
        <f>工程量计算稿!A14</f>
        <v>9</v>
      </c>
      <c r="B15" s="136" t="str">
        <f>工程量计算稿!B14</f>
        <v>M10沙浆抹面</v>
      </c>
      <c r="C15" s="137" t="str">
        <f>工程量计算稿!C14</f>
        <v>m2</v>
      </c>
      <c r="D15" s="138">
        <f>结算审核表!D16</f>
        <v>92.9438</v>
      </c>
      <c r="E15" s="139">
        <f>结算审核表!I16</f>
        <v>88.78</v>
      </c>
      <c r="F15" s="140">
        <f ca="1">工程量计算稿!E14</f>
        <v>88.776</v>
      </c>
      <c r="G15" s="141">
        <f ca="1" t="shared" si="0"/>
        <v>-4.1678</v>
      </c>
      <c r="H15" s="141">
        <f ca="1" t="shared" si="1"/>
        <v>-0.00400000000000489</v>
      </c>
      <c r="I15" s="158"/>
      <c r="J15" s="159" t="str">
        <f t="shared" si="2"/>
        <v>M10沙浆抹面</v>
      </c>
      <c r="K15" s="150">
        <f ca="1">G15+G36</f>
        <v>124.6502</v>
      </c>
      <c r="L15" s="150">
        <f ca="1">H15+H36</f>
        <v>-19.076</v>
      </c>
      <c r="M15" s="163"/>
    </row>
    <row r="16" s="97" customFormat="1" ht="16.5" customHeight="1" spans="1:13">
      <c r="A16" s="135">
        <f>工程量计算稿!A15</f>
        <v>10</v>
      </c>
      <c r="B16" s="136" t="str">
        <f>工程量计算稿!B15</f>
        <v>墙面瓷砖粘贴</v>
      </c>
      <c r="C16" s="137" t="str">
        <f>工程量计算稿!C15</f>
        <v>m2</v>
      </c>
      <c r="D16" s="138">
        <f>结算审核表!D17</f>
        <v>11.8165</v>
      </c>
      <c r="E16" s="139">
        <f>结算审核表!I17</f>
        <v>23.81</v>
      </c>
      <c r="F16" s="140">
        <f ca="1">工程量计算稿!E15</f>
        <v>23.81376</v>
      </c>
      <c r="G16" s="141">
        <f ca="1" t="shared" si="0"/>
        <v>11.99726</v>
      </c>
      <c r="H16" s="141">
        <f ca="1" t="shared" si="1"/>
        <v>0.00376000000000332</v>
      </c>
      <c r="I16" s="158"/>
      <c r="J16" s="159" t="str">
        <f t="shared" si="2"/>
        <v>墙面瓷砖粘贴</v>
      </c>
      <c r="K16" s="150">
        <f ca="1">G16+G26+G35</f>
        <v>245.61366</v>
      </c>
      <c r="L16" s="150">
        <f ca="1">H16+H26+H35</f>
        <v>-68.22984</v>
      </c>
      <c r="M16" s="163"/>
    </row>
    <row r="17" s="97" customFormat="1" ht="16.5" customHeight="1" spans="1:13">
      <c r="A17" s="135">
        <f>工程量计算稿!A16</f>
        <v>11</v>
      </c>
      <c r="B17" s="136" t="str">
        <f>工程量计算稿!B16</f>
        <v>通气进人孔</v>
      </c>
      <c r="C17" s="137" t="str">
        <f>工程量计算稿!C16</f>
        <v>套</v>
      </c>
      <c r="D17" s="138">
        <f>结算审核表!D18</f>
        <v>1</v>
      </c>
      <c r="E17" s="139">
        <f>结算审核表!I18</f>
        <v>1</v>
      </c>
      <c r="F17" s="140">
        <f ca="1">工程量计算稿!E16</f>
        <v>1</v>
      </c>
      <c r="G17" s="141">
        <f ca="1" t="shared" si="0"/>
        <v>0</v>
      </c>
      <c r="H17" s="141">
        <f ca="1" t="shared" si="1"/>
        <v>0</v>
      </c>
      <c r="I17" s="158"/>
      <c r="J17" s="159" t="str">
        <f t="shared" si="2"/>
        <v>通气进人孔</v>
      </c>
      <c r="K17" s="150">
        <f ca="1">G17</f>
        <v>0</v>
      </c>
      <c r="L17" s="150">
        <f ca="1">H17</f>
        <v>0</v>
      </c>
      <c r="M17" s="163"/>
    </row>
    <row r="18" s="97" customFormat="1" ht="16.5" customHeight="1" spans="1:13">
      <c r="A18" s="135">
        <f>工程量计算稿!A17</f>
        <v>12</v>
      </c>
      <c r="B18" s="136" t="str">
        <f>工程量计算稿!B17</f>
        <v>种草绿化</v>
      </c>
      <c r="C18" s="137" t="str">
        <f>工程量计算稿!C17</f>
        <v>m2</v>
      </c>
      <c r="D18" s="138">
        <f>结算审核表!D19</f>
        <v>50.24</v>
      </c>
      <c r="E18" s="139">
        <f>结算审核表!I19</f>
        <v>0</v>
      </c>
      <c r="F18" s="140">
        <f ca="1">工程量计算稿!E17</f>
        <v>0</v>
      </c>
      <c r="G18" s="141">
        <f ca="1" t="shared" si="0"/>
        <v>-50.24</v>
      </c>
      <c r="H18" s="141">
        <f ca="1" t="shared" si="1"/>
        <v>0</v>
      </c>
      <c r="I18" s="167"/>
      <c r="J18" s="159" t="str">
        <f t="shared" si="2"/>
        <v>种草绿化</v>
      </c>
      <c r="K18" s="150">
        <f ca="1">G18</f>
        <v>-50.24</v>
      </c>
      <c r="L18" s="150">
        <f ca="1">H18</f>
        <v>0</v>
      </c>
      <c r="M18" s="163"/>
    </row>
    <row r="19" s="97" customFormat="1" ht="16.5" customHeight="1" spans="1:13">
      <c r="A19" s="128" t="str">
        <f>工程量计算稿!A18</f>
        <v>二</v>
      </c>
      <c r="B19" s="129" t="str">
        <f>工程量计算稿!B18</f>
        <v>新增围墙工程</v>
      </c>
      <c r="C19" s="130" t="str">
        <f>工程量计算稿!C18</f>
        <v/>
      </c>
      <c r="D19" s="143"/>
      <c r="E19" s="144"/>
      <c r="F19" s="133"/>
      <c r="G19" s="134"/>
      <c r="H19" s="134"/>
      <c r="I19" s="156"/>
      <c r="J19" s="150"/>
      <c r="K19" s="150"/>
      <c r="L19" s="150"/>
      <c r="M19" s="163"/>
    </row>
    <row r="20" s="96" customFormat="1" ht="16.5" customHeight="1" spans="1:14">
      <c r="A20" s="135">
        <f>工程量计算稿!A19</f>
        <v>1</v>
      </c>
      <c r="B20" s="136" t="str">
        <f>工程量计算稿!B19</f>
        <v>土方开挖</v>
      </c>
      <c r="C20" s="137" t="str">
        <f>工程量计算稿!C19</f>
        <v>m3</v>
      </c>
      <c r="D20" s="145"/>
      <c r="E20" s="139">
        <f>结算审核表!I21</f>
        <v>411.6</v>
      </c>
      <c r="F20" s="140">
        <f ca="1">工程量计算稿!E19</f>
        <v>341.828</v>
      </c>
      <c r="G20" s="141">
        <f ca="1" t="shared" ref="G20:G70" si="3">F20-D20</f>
        <v>341.828</v>
      </c>
      <c r="H20" s="141">
        <f ca="1" t="shared" ref="H20:H70" si="4">F20-E20</f>
        <v>-69.772</v>
      </c>
      <c r="I20" s="158"/>
      <c r="J20" s="159"/>
      <c r="K20" s="150"/>
      <c r="L20" s="150"/>
      <c r="M20" s="150"/>
      <c r="N20" s="160"/>
    </row>
    <row r="21" s="97" customFormat="1" ht="16.5" customHeight="1" spans="1:13">
      <c r="A21" s="135">
        <f>工程量计算稿!A20</f>
        <v>2</v>
      </c>
      <c r="B21" s="136" t="str">
        <f>工程量计算稿!B20</f>
        <v>石方开挖</v>
      </c>
      <c r="C21" s="137" t="str">
        <f>工程量计算稿!C20</f>
        <v>m3</v>
      </c>
      <c r="D21" s="145"/>
      <c r="E21" s="139">
        <f>结算审核表!I22</f>
        <v>412.3</v>
      </c>
      <c r="F21" s="140">
        <f ca="1">工程量计算稿!E20</f>
        <v>342.992</v>
      </c>
      <c r="G21" s="141">
        <f ca="1" t="shared" si="3"/>
        <v>342.992</v>
      </c>
      <c r="H21" s="141">
        <f ca="1" t="shared" si="4"/>
        <v>-69.308</v>
      </c>
      <c r="I21" s="168"/>
      <c r="J21" s="159"/>
      <c r="K21" s="150"/>
      <c r="L21" s="150"/>
      <c r="M21" s="163"/>
    </row>
    <row r="22" s="97" customFormat="1" ht="16.5" customHeight="1" spans="1:13">
      <c r="A22" s="135">
        <f>工程量计算稿!A21</f>
        <v>3</v>
      </c>
      <c r="B22" s="136" t="str">
        <f>工程量计算稿!B21</f>
        <v>圈梁C25砼 2级配 32.5水泥 粒径40mm</v>
      </c>
      <c r="C22" s="137" t="str">
        <f>工程量计算稿!C21</f>
        <v>m3</v>
      </c>
      <c r="D22" s="145"/>
      <c r="E22" s="139">
        <f>结算审核表!I23</f>
        <v>6.14</v>
      </c>
      <c r="F22" s="140">
        <f ca="1">工程量计算稿!E21</f>
        <v>5.999625</v>
      </c>
      <c r="G22" s="141">
        <f ca="1" t="shared" si="3"/>
        <v>5.999625</v>
      </c>
      <c r="H22" s="141">
        <f ca="1" t="shared" si="4"/>
        <v>-0.140374999999999</v>
      </c>
      <c r="I22" s="158"/>
      <c r="J22" s="159"/>
      <c r="K22" s="150"/>
      <c r="L22" s="150"/>
      <c r="M22" s="163"/>
    </row>
    <row r="23" s="97" customFormat="1" ht="16.5" customHeight="1" spans="1:13">
      <c r="A23" s="135">
        <f>工程量计算稿!A22</f>
        <v>4</v>
      </c>
      <c r="B23" s="136" t="str">
        <f>工程量计算稿!B22</f>
        <v>地面硬化C25砼 2级配 32.5水泥 粒径40mm</v>
      </c>
      <c r="C23" s="137" t="str">
        <f>工程量计算稿!C22</f>
        <v>m3</v>
      </c>
      <c r="D23" s="145"/>
      <c r="E23" s="139">
        <f>结算审核表!I24</f>
        <v>92.07</v>
      </c>
      <c r="F23" s="140">
        <f ca="1">工程量计算稿!E22</f>
        <v>81.3944072</v>
      </c>
      <c r="G23" s="141">
        <f ca="1" t="shared" si="3"/>
        <v>81.3944072</v>
      </c>
      <c r="H23" s="141">
        <f ca="1" t="shared" si="4"/>
        <v>-10.6755928</v>
      </c>
      <c r="I23" s="158"/>
      <c r="J23" s="159"/>
      <c r="K23" s="150"/>
      <c r="L23" s="150"/>
      <c r="M23" s="163"/>
    </row>
    <row r="24" s="97" customFormat="1" ht="16.5" customHeight="1" spans="1:13">
      <c r="A24" s="135">
        <f>工程量计算稿!A23</f>
        <v>5</v>
      </c>
      <c r="B24" s="136" t="str">
        <f>工程量计算稿!B23</f>
        <v>M7.5砌砖</v>
      </c>
      <c r="C24" s="137" t="str">
        <f>工程量计算稿!C23</f>
        <v>m3</v>
      </c>
      <c r="D24" s="145"/>
      <c r="E24" s="139">
        <f>结算审核表!I25</f>
        <v>27.16</v>
      </c>
      <c r="F24" s="140">
        <f ca="1">工程量计算稿!E23</f>
        <v>25.88252</v>
      </c>
      <c r="G24" s="141">
        <f ca="1" t="shared" si="3"/>
        <v>25.88252</v>
      </c>
      <c r="H24" s="141">
        <f ca="1" t="shared" si="4"/>
        <v>-1.27748</v>
      </c>
      <c r="I24" s="158"/>
      <c r="J24" s="159"/>
      <c r="K24" s="150"/>
      <c r="L24" s="150"/>
      <c r="M24" s="163"/>
    </row>
    <row r="25" s="97" customFormat="1" ht="16.5" customHeight="1" spans="1:13">
      <c r="A25" s="135">
        <f>工程量计算稿!A24</f>
        <v>6</v>
      </c>
      <c r="B25" s="136" t="str">
        <f>工程量计算稿!B24</f>
        <v>钢筋制安</v>
      </c>
      <c r="C25" s="137" t="str">
        <f>工程量计算稿!C24</f>
        <v>kg</v>
      </c>
      <c r="D25" s="145"/>
      <c r="E25" s="139">
        <f>结算审核表!I26</f>
        <v>1078.76</v>
      </c>
      <c r="F25" s="140">
        <f ca="1">工程量计算稿!E24</f>
        <v>999.1966</v>
      </c>
      <c r="G25" s="141">
        <f ca="1" t="shared" si="3"/>
        <v>999.1966</v>
      </c>
      <c r="H25" s="141">
        <f ca="1" t="shared" si="4"/>
        <v>-79.5634</v>
      </c>
      <c r="I25" s="158"/>
      <c r="J25" s="159"/>
      <c r="K25" s="150"/>
      <c r="L25" s="150"/>
      <c r="M25" s="163"/>
    </row>
    <row r="26" s="97" customFormat="1" ht="16.5" customHeight="1" spans="1:13">
      <c r="A26" s="135">
        <f>工程量计算稿!A25</f>
        <v>7</v>
      </c>
      <c r="B26" s="136" t="str">
        <f>工程量计算稿!B25</f>
        <v>墙面瓷砖粘贴</v>
      </c>
      <c r="C26" s="137" t="str">
        <f>工程量计算稿!C25</f>
        <v>m2</v>
      </c>
      <c r="D26" s="145"/>
      <c r="E26" s="139">
        <f>结算审核表!I27</f>
        <v>237.97</v>
      </c>
      <c r="F26" s="140">
        <f ca="1">工程量计算稿!E25</f>
        <v>193.0602</v>
      </c>
      <c r="G26" s="141">
        <f ca="1" t="shared" si="3"/>
        <v>193.0602</v>
      </c>
      <c r="H26" s="141">
        <f ca="1" t="shared" si="4"/>
        <v>-44.9098</v>
      </c>
      <c r="I26" s="158"/>
      <c r="J26" s="159"/>
      <c r="K26" s="150"/>
      <c r="L26" s="150"/>
      <c r="M26" s="163"/>
    </row>
    <row r="27" s="97" customFormat="1" ht="16.5" customHeight="1" spans="1:13">
      <c r="A27" s="135">
        <f>工程量计算稿!A26</f>
        <v>8</v>
      </c>
      <c r="B27" s="136" t="str">
        <f>工程量计算稿!B26</f>
        <v>不锈钢大门</v>
      </c>
      <c r="C27" s="137" t="str">
        <f>工程量计算稿!C26</f>
        <v>m2</v>
      </c>
      <c r="D27" s="145"/>
      <c r="E27" s="139">
        <f>结算审核表!I28</f>
        <v>6.6</v>
      </c>
      <c r="F27" s="140">
        <f ca="1">工程量计算稿!E26</f>
        <v>6.6</v>
      </c>
      <c r="G27" s="141">
        <f ca="1" t="shared" si="3"/>
        <v>6.6</v>
      </c>
      <c r="H27" s="141">
        <f ca="1" t="shared" si="4"/>
        <v>0</v>
      </c>
      <c r="I27" s="158"/>
      <c r="J27" s="159" t="str">
        <f>B27</f>
        <v>不锈钢大门</v>
      </c>
      <c r="K27" s="150">
        <f ca="1">G27</f>
        <v>6.6</v>
      </c>
      <c r="L27" s="150">
        <f ca="1">H27</f>
        <v>0</v>
      </c>
      <c r="M27" s="163"/>
    </row>
    <row r="28" s="97" customFormat="1" ht="16.5" customHeight="1" spans="1:13">
      <c r="A28" s="135">
        <f>工程量计算稿!A27</f>
        <v>9</v>
      </c>
      <c r="B28" s="136" t="str">
        <f>工程量计算稿!B27</f>
        <v>不锈钢栏杆</v>
      </c>
      <c r="C28" s="137" t="str">
        <f>工程量计算稿!C27</f>
        <v>m2</v>
      </c>
      <c r="D28" s="145"/>
      <c r="E28" s="139">
        <f>结算审核表!I29</f>
        <v>35.17</v>
      </c>
      <c r="F28" s="140">
        <f ca="1">工程量计算稿!E27</f>
        <v>31.6476</v>
      </c>
      <c r="G28" s="141">
        <f ca="1" t="shared" si="3"/>
        <v>31.6476</v>
      </c>
      <c r="H28" s="141">
        <f ca="1" t="shared" si="4"/>
        <v>-3.5224</v>
      </c>
      <c r="I28" s="158"/>
      <c r="J28" s="159" t="str">
        <f>B28</f>
        <v>不锈钢栏杆</v>
      </c>
      <c r="K28" s="150">
        <f ca="1">G28</f>
        <v>31.6476</v>
      </c>
      <c r="L28" s="150">
        <f ca="1">H28</f>
        <v>-3.5224</v>
      </c>
      <c r="M28" s="163"/>
    </row>
    <row r="29" s="97" customFormat="1" ht="16.5" customHeight="1" spans="1:13">
      <c r="A29" s="128" t="str">
        <f>工程量计算稿!A28</f>
        <v>三</v>
      </c>
      <c r="B29" s="129" t="str">
        <f>工程量计算稿!B28</f>
        <v>新增管理房工程</v>
      </c>
      <c r="C29" s="130" t="str">
        <f>工程量计算稿!C28</f>
        <v/>
      </c>
      <c r="D29" s="131"/>
      <c r="E29" s="132"/>
      <c r="F29" s="133"/>
      <c r="G29" s="134"/>
      <c r="H29" s="134"/>
      <c r="I29" s="156"/>
      <c r="J29" s="150"/>
      <c r="K29" s="150"/>
      <c r="L29" s="150"/>
      <c r="M29" s="163"/>
    </row>
    <row r="30" s="97" customFormat="1" ht="16.5" customHeight="1" spans="1:13">
      <c r="A30" s="135">
        <f>工程量计算稿!A29</f>
        <v>1</v>
      </c>
      <c r="B30" s="136" t="str">
        <f>工程量计算稿!B29</f>
        <v>圈梁C25砼 2级配 32.5水泥 粒径40mm</v>
      </c>
      <c r="C30" s="137" t="str">
        <f>工程量计算稿!C29</f>
        <v>m3</v>
      </c>
      <c r="D30" s="145"/>
      <c r="E30" s="139">
        <f>结算审核表!I31</f>
        <v>3.03</v>
      </c>
      <c r="F30" s="140">
        <f ca="1">工程量计算稿!E29</f>
        <v>2.9295</v>
      </c>
      <c r="G30" s="141">
        <f ca="1" t="shared" si="3"/>
        <v>2.9295</v>
      </c>
      <c r="H30" s="141">
        <f ca="1" t="shared" si="4"/>
        <v>-0.1005</v>
      </c>
      <c r="I30" s="169"/>
      <c r="J30" s="159"/>
      <c r="K30" s="150"/>
      <c r="L30" s="150"/>
      <c r="M30" s="163"/>
    </row>
    <row r="31" s="97" customFormat="1" ht="16.5" customHeight="1" spans="1:13">
      <c r="A31" s="135">
        <f>工程量计算稿!A30</f>
        <v>2</v>
      </c>
      <c r="B31" s="136" t="str">
        <f>工程量计算稿!B30</f>
        <v>地面硬化C25砼 2级配 32.5水泥 粒径40mm</v>
      </c>
      <c r="C31" s="137" t="str">
        <f>工程量计算稿!C30</f>
        <v>m3</v>
      </c>
      <c r="D31" s="145"/>
      <c r="E31" s="139">
        <f>结算审核表!I32</f>
        <v>2.68</v>
      </c>
      <c r="F31" s="140">
        <f ca="1">工程量计算稿!E30</f>
        <v>2.48332</v>
      </c>
      <c r="G31" s="141">
        <f ca="1" t="shared" si="3"/>
        <v>2.48332</v>
      </c>
      <c r="H31" s="141">
        <f ca="1" t="shared" si="4"/>
        <v>-0.19668</v>
      </c>
      <c r="I31" s="158"/>
      <c r="J31" s="159"/>
      <c r="K31" s="150"/>
      <c r="L31" s="150"/>
      <c r="M31" s="163"/>
    </row>
    <row r="32" s="97" customFormat="1" ht="16.5" customHeight="1" spans="1:13">
      <c r="A32" s="135">
        <f>工程量计算稿!A31</f>
        <v>3</v>
      </c>
      <c r="B32" s="136" t="str">
        <f>工程量计算稿!B31</f>
        <v>顶板C25砼 2级配 32.5水泥 粒径40mm</v>
      </c>
      <c r="C32" s="137" t="str">
        <f>工程量计算稿!C31</f>
        <v>m3</v>
      </c>
      <c r="D32" s="145"/>
      <c r="E32" s="139">
        <f>结算审核表!I33</f>
        <v>3.79</v>
      </c>
      <c r="F32" s="140">
        <f ca="1">工程量计算稿!E31</f>
        <v>3.5673</v>
      </c>
      <c r="G32" s="141">
        <f ca="1" t="shared" si="3"/>
        <v>3.5673</v>
      </c>
      <c r="H32" s="141">
        <f ca="1" t="shared" si="4"/>
        <v>-0.2227</v>
      </c>
      <c r="I32" s="158"/>
      <c r="J32" s="159"/>
      <c r="K32" s="150"/>
      <c r="L32" s="150"/>
      <c r="M32" s="163"/>
    </row>
    <row r="33" s="97" customFormat="1" ht="16.5" customHeight="1" spans="1:13">
      <c r="A33" s="135">
        <f>工程量计算稿!A32</f>
        <v>4</v>
      </c>
      <c r="B33" s="136" t="str">
        <f>工程量计算稿!B32</f>
        <v>M7.5砌砖</v>
      </c>
      <c r="C33" s="137" t="str">
        <f>工程量计算稿!C32</f>
        <v>m3</v>
      </c>
      <c r="D33" s="145"/>
      <c r="E33" s="139">
        <f>结算审核表!I34</f>
        <v>16.89</v>
      </c>
      <c r="F33" s="140">
        <f ca="1">工程量计算稿!E32</f>
        <v>16.28064</v>
      </c>
      <c r="G33" s="141">
        <f ca="1" t="shared" si="3"/>
        <v>16.28064</v>
      </c>
      <c r="H33" s="141">
        <f ca="1" t="shared" si="4"/>
        <v>-0.609360000000002</v>
      </c>
      <c r="I33" s="158"/>
      <c r="J33" s="159"/>
      <c r="K33" s="150"/>
      <c r="L33" s="150"/>
      <c r="M33" s="163"/>
    </row>
    <row r="34" s="97" customFormat="1" ht="16.5" customHeight="1" spans="1:13">
      <c r="A34" s="135">
        <f>工程量计算稿!A33</f>
        <v>5</v>
      </c>
      <c r="B34" s="136" t="str">
        <f>工程量计算稿!B33</f>
        <v>钢筋制安</v>
      </c>
      <c r="C34" s="137" t="str">
        <f>工程量计算稿!C33</f>
        <v>kg</v>
      </c>
      <c r="D34" s="145"/>
      <c r="E34" s="139">
        <f>结算审核表!I35</f>
        <v>1202.25</v>
      </c>
      <c r="F34" s="140">
        <f ca="1">工程量计算稿!E33</f>
        <v>1246.58674</v>
      </c>
      <c r="G34" s="141">
        <f ca="1" t="shared" si="3"/>
        <v>1246.58674</v>
      </c>
      <c r="H34" s="141">
        <f ca="1" t="shared" si="4"/>
        <v>44.33674</v>
      </c>
      <c r="I34" s="169"/>
      <c r="J34" s="159"/>
      <c r="K34" s="150"/>
      <c r="L34" s="150"/>
      <c r="M34" s="163"/>
    </row>
    <row r="35" s="97" customFormat="1" ht="16.5" customHeight="1" spans="1:13">
      <c r="A35" s="135">
        <f>工程量计算稿!A34</f>
        <v>6</v>
      </c>
      <c r="B35" s="136" t="str">
        <f>工程量计算稿!B34</f>
        <v>墙面瓷砖粘贴</v>
      </c>
      <c r="C35" s="137" t="str">
        <f>工程量计算稿!C34</f>
        <v>m2</v>
      </c>
      <c r="D35" s="145"/>
      <c r="E35" s="139">
        <f>结算审核表!I36</f>
        <v>63.88</v>
      </c>
      <c r="F35" s="140">
        <f ca="1">工程量计算稿!E34</f>
        <v>40.5562</v>
      </c>
      <c r="G35" s="141">
        <f ca="1" t="shared" si="3"/>
        <v>40.5562</v>
      </c>
      <c r="H35" s="141">
        <f ca="1" t="shared" si="4"/>
        <v>-23.3238</v>
      </c>
      <c r="I35" s="169"/>
      <c r="J35" s="159"/>
      <c r="K35" s="150"/>
      <c r="L35" s="150"/>
      <c r="M35" s="163"/>
    </row>
    <row r="36" ht="16.5" customHeight="1" spans="1:14">
      <c r="A36" s="135">
        <f>工程量计算稿!A35</f>
        <v>7</v>
      </c>
      <c r="B36" s="136" t="str">
        <f>工程量计算稿!B35</f>
        <v>内墙M10砂浆抹面</v>
      </c>
      <c r="C36" s="137" t="str">
        <f>工程量计算稿!C35</f>
        <v>m2</v>
      </c>
      <c r="D36" s="145"/>
      <c r="E36" s="139">
        <f>结算审核表!I37</f>
        <v>147.89</v>
      </c>
      <c r="F36" s="140">
        <f ca="1">工程量计算稿!E35</f>
        <v>128.818</v>
      </c>
      <c r="G36" s="141">
        <f ca="1" t="shared" si="3"/>
        <v>128.818</v>
      </c>
      <c r="H36" s="141">
        <f ca="1" t="shared" si="4"/>
        <v>-19.072</v>
      </c>
      <c r="I36" s="169"/>
      <c r="J36" s="170"/>
      <c r="M36" s="171"/>
      <c r="N36" s="98"/>
    </row>
    <row r="37" ht="16.5" customHeight="1" spans="1:14">
      <c r="A37" s="135">
        <f>工程量计算稿!A36</f>
        <v>8</v>
      </c>
      <c r="B37" s="136" t="str">
        <f>工程量计算稿!B36</f>
        <v>铝合金玻璃窗</v>
      </c>
      <c r="C37" s="137" t="str">
        <f>工程量计算稿!C36</f>
        <v>m2</v>
      </c>
      <c r="D37" s="145"/>
      <c r="E37" s="139">
        <f>结算审核表!I38</f>
        <v>3.9</v>
      </c>
      <c r="F37" s="140">
        <f ca="1">工程量计算稿!E36</f>
        <v>3.9</v>
      </c>
      <c r="G37" s="141">
        <f ca="1" t="shared" si="3"/>
        <v>3.9</v>
      </c>
      <c r="H37" s="141">
        <f ca="1" t="shared" si="4"/>
        <v>0</v>
      </c>
      <c r="I37" s="169"/>
      <c r="J37" s="159" t="str">
        <f>B37</f>
        <v>铝合金玻璃窗</v>
      </c>
      <c r="K37" s="150">
        <f ca="1">G37</f>
        <v>3.9</v>
      </c>
      <c r="L37" s="150">
        <f ca="1">H37</f>
        <v>0</v>
      </c>
      <c r="M37" s="171"/>
      <c r="N37" s="98"/>
    </row>
    <row r="38" ht="16.5" customHeight="1" spans="1:14">
      <c r="A38" s="135">
        <f>工程量计算稿!A37</f>
        <v>9</v>
      </c>
      <c r="B38" s="136" t="str">
        <f>工程量计算稿!B37</f>
        <v>防盗门</v>
      </c>
      <c r="C38" s="137" t="str">
        <f>工程量计算稿!C37</f>
        <v>栋</v>
      </c>
      <c r="D38" s="145"/>
      <c r="E38" s="139">
        <f>结算审核表!I39</f>
        <v>2</v>
      </c>
      <c r="F38" s="140">
        <f ca="1">工程量计算稿!E37</f>
        <v>2</v>
      </c>
      <c r="G38" s="141">
        <f ca="1" t="shared" si="3"/>
        <v>2</v>
      </c>
      <c r="H38" s="141">
        <f ca="1" t="shared" si="4"/>
        <v>0</v>
      </c>
      <c r="I38" s="169"/>
      <c r="J38" s="159" t="str">
        <f>B38</f>
        <v>防盗门</v>
      </c>
      <c r="K38" s="150">
        <f ca="1">G38</f>
        <v>2</v>
      </c>
      <c r="L38" s="150">
        <f ca="1">H38</f>
        <v>0</v>
      </c>
      <c r="M38" s="171"/>
      <c r="N38" s="98"/>
    </row>
    <row r="39" ht="16.5" customHeight="1" spans="1:14">
      <c r="A39" s="128" t="str">
        <f>工程量计算稿!A38</f>
        <v>四</v>
      </c>
      <c r="B39" s="129" t="str">
        <f>工程量计算稿!B38</f>
        <v>新增沉砂池工程</v>
      </c>
      <c r="C39" s="130" t="str">
        <f>工程量计算稿!C38</f>
        <v/>
      </c>
      <c r="D39" s="131"/>
      <c r="E39" s="132"/>
      <c r="F39" s="133"/>
      <c r="G39" s="134"/>
      <c r="H39" s="134"/>
      <c r="I39" s="156"/>
      <c r="M39" s="171"/>
      <c r="N39" s="98"/>
    </row>
    <row r="40" ht="16.5" customHeight="1" spans="1:14">
      <c r="A40" s="135">
        <f>工程量计算稿!A39</f>
        <v>1</v>
      </c>
      <c r="B40" s="136" t="str">
        <f>工程量计算稿!B39</f>
        <v>石方开挖</v>
      </c>
      <c r="C40" s="137" t="str">
        <f>工程量计算稿!C39</f>
        <v>m3</v>
      </c>
      <c r="D40" s="145"/>
      <c r="E40" s="139">
        <f>结算审核表!I41</f>
        <v>14.31</v>
      </c>
      <c r="F40" s="140">
        <f ca="1">工程量计算稿!E39</f>
        <v>12.5345</v>
      </c>
      <c r="G40" s="141">
        <f ca="1" t="shared" si="3"/>
        <v>12.5345</v>
      </c>
      <c r="H40" s="141">
        <f ca="1" t="shared" si="4"/>
        <v>-1.7755</v>
      </c>
      <c r="I40" s="169"/>
      <c r="J40" s="170"/>
      <c r="M40" s="171"/>
      <c r="N40" s="98"/>
    </row>
    <row r="41" ht="16.5" customHeight="1" spans="1:14">
      <c r="A41" s="135">
        <f>工程量计算稿!A40</f>
        <v>2</v>
      </c>
      <c r="B41" s="136" t="str">
        <f>工程量计算稿!B40</f>
        <v>C25现浇混凝土</v>
      </c>
      <c r="C41" s="137" t="str">
        <f>工程量计算稿!C40</f>
        <v>m3</v>
      </c>
      <c r="D41" s="145"/>
      <c r="E41" s="139">
        <f>结算审核表!I42</f>
        <v>7.47</v>
      </c>
      <c r="F41" s="140">
        <f ca="1">工程量计算稿!E40</f>
        <v>6.266</v>
      </c>
      <c r="G41" s="141">
        <f ca="1" t="shared" si="3"/>
        <v>6.266</v>
      </c>
      <c r="H41" s="141">
        <f ca="1" t="shared" si="4"/>
        <v>-1.204</v>
      </c>
      <c r="I41" s="169"/>
      <c r="J41" s="170"/>
      <c r="M41" s="171"/>
      <c r="N41" s="98"/>
    </row>
    <row r="42" ht="16.5" customHeight="1" spans="1:14">
      <c r="A42" s="135">
        <f>工程量计算稿!A41</f>
        <v>3</v>
      </c>
      <c r="B42" s="136" t="str">
        <f>工程量计算稿!B41</f>
        <v>模板制安</v>
      </c>
      <c r="C42" s="137" t="str">
        <f>工程量计算稿!C41</f>
        <v>m2</v>
      </c>
      <c r="D42" s="145"/>
      <c r="E42" s="139">
        <f>结算审核表!I43</f>
        <v>11.1</v>
      </c>
      <c r="F42" s="140">
        <f ca="1">工程量计算稿!E41</f>
        <v>9.63</v>
      </c>
      <c r="G42" s="141">
        <f ca="1" t="shared" si="3"/>
        <v>9.63</v>
      </c>
      <c r="H42" s="141">
        <f ca="1" t="shared" si="4"/>
        <v>-1.47</v>
      </c>
      <c r="I42" s="169"/>
      <c r="J42" s="170"/>
      <c r="M42" s="171"/>
      <c r="N42" s="98"/>
    </row>
    <row r="43" ht="16.5" customHeight="1" spans="1:14">
      <c r="A43" s="128" t="str">
        <f>工程量计算稿!A42</f>
        <v>五</v>
      </c>
      <c r="B43" s="129" t="str">
        <f>工程量计算稿!B42</f>
        <v>新增人工挖孔桩工程</v>
      </c>
      <c r="C43" s="130" t="str">
        <f>工程量计算稿!C42</f>
        <v/>
      </c>
      <c r="D43" s="131"/>
      <c r="E43" s="132"/>
      <c r="F43" s="133"/>
      <c r="G43" s="134"/>
      <c r="H43" s="134"/>
      <c r="I43" s="156"/>
      <c r="M43" s="171"/>
      <c r="N43" s="98"/>
    </row>
    <row r="44" ht="16.5" customHeight="1" spans="1:10">
      <c r="A44" s="135">
        <f>工程量计算稿!A43</f>
        <v>1</v>
      </c>
      <c r="B44" s="136" t="str">
        <f>工程量计算稿!B43</f>
        <v>土方开挖</v>
      </c>
      <c r="C44" s="137" t="str">
        <f>工程量计算稿!C43</f>
        <v>m3</v>
      </c>
      <c r="D44" s="145"/>
      <c r="E44" s="139">
        <f>结算审核表!I45</f>
        <v>33.85</v>
      </c>
      <c r="F44" s="140">
        <f ca="1">工程量计算稿!E43</f>
        <v>33.8492</v>
      </c>
      <c r="G44" s="141">
        <f ca="1" t="shared" si="3"/>
        <v>33.8492</v>
      </c>
      <c r="H44" s="141">
        <f ca="1" t="shared" si="4"/>
        <v>-0.000800000000005241</v>
      </c>
      <c r="I44" s="169"/>
      <c r="J44" s="170"/>
    </row>
    <row r="45" ht="16.5" customHeight="1" spans="1:14">
      <c r="A45" s="135">
        <f>工程量计算稿!A44</f>
        <v>2</v>
      </c>
      <c r="B45" s="136" t="str">
        <f>工程量计算稿!B44</f>
        <v>石方开挖</v>
      </c>
      <c r="C45" s="137" t="str">
        <f>工程量计算稿!C44</f>
        <v>m3</v>
      </c>
      <c r="D45" s="145"/>
      <c r="E45" s="139">
        <f>结算审核表!I46</f>
        <v>5.08</v>
      </c>
      <c r="F45" s="140">
        <f ca="1">工程量计算稿!E44</f>
        <v>5.07738</v>
      </c>
      <c r="G45" s="141">
        <f ca="1" t="shared" si="3"/>
        <v>5.07738</v>
      </c>
      <c r="H45" s="141">
        <f ca="1" t="shared" si="4"/>
        <v>-0.00262000000000029</v>
      </c>
      <c r="I45" s="169"/>
      <c r="J45" s="170"/>
      <c r="M45" s="171"/>
      <c r="N45" s="98"/>
    </row>
    <row r="46" ht="16.5" customHeight="1" spans="1:14">
      <c r="A46" s="135">
        <f>工程量计算稿!A45</f>
        <v>3</v>
      </c>
      <c r="B46" s="136" t="str">
        <f>工程量计算稿!B45</f>
        <v>C25砼 2级配 32.5水泥 粒径40mm</v>
      </c>
      <c r="C46" s="137" t="str">
        <f>工程量计算稿!C45</f>
        <v>m3</v>
      </c>
      <c r="D46" s="145"/>
      <c r="E46" s="139">
        <f>结算审核表!I47</f>
        <v>38.93</v>
      </c>
      <c r="F46" s="140">
        <f ca="1">工程量计算稿!E45</f>
        <v>38.92658</v>
      </c>
      <c r="G46" s="141">
        <f ca="1" t="shared" si="3"/>
        <v>38.92658</v>
      </c>
      <c r="H46" s="141">
        <f ca="1" t="shared" si="4"/>
        <v>-0.00342000000000553</v>
      </c>
      <c r="I46" s="169"/>
      <c r="J46" s="170"/>
      <c r="M46" s="171"/>
      <c r="N46" s="98"/>
    </row>
    <row r="47" ht="16.5" customHeight="1" spans="1:14">
      <c r="A47" s="135">
        <f>工程量计算稿!A46</f>
        <v>4</v>
      </c>
      <c r="B47" s="136" t="str">
        <f>工程量计算稿!B46</f>
        <v>钢筋制安</v>
      </c>
      <c r="C47" s="137" t="str">
        <f>工程量计算稿!C46</f>
        <v>kg</v>
      </c>
      <c r="D47" s="145"/>
      <c r="E47" s="139">
        <f>结算审核表!I48</f>
        <v>1628.63</v>
      </c>
      <c r="F47" s="140">
        <f ca="1">工程量计算稿!E46</f>
        <v>1611.560258</v>
      </c>
      <c r="G47" s="141">
        <f ca="1" t="shared" si="3"/>
        <v>1611.560258</v>
      </c>
      <c r="H47" s="141">
        <f ca="1" t="shared" si="4"/>
        <v>-17.0697420000004</v>
      </c>
      <c r="I47" s="169"/>
      <c r="J47" s="170"/>
      <c r="M47" s="171"/>
      <c r="N47" s="98"/>
    </row>
    <row r="48" ht="16.5" customHeight="1" spans="1:14">
      <c r="A48" s="128" t="str">
        <f>工程量计算稿!A47</f>
        <v>六</v>
      </c>
      <c r="B48" s="129" t="str">
        <f>工程量计算稿!B47</f>
        <v>新增施工便道工程</v>
      </c>
      <c r="C48" s="130"/>
      <c r="D48" s="131"/>
      <c r="E48" s="132"/>
      <c r="F48" s="133"/>
      <c r="G48" s="134"/>
      <c r="H48" s="134"/>
      <c r="I48" s="156"/>
      <c r="M48" s="171"/>
      <c r="N48" s="98"/>
    </row>
    <row r="49" ht="16.5" customHeight="1" spans="1:10">
      <c r="A49" s="135">
        <f>工程量计算稿!A48</f>
        <v>1</v>
      </c>
      <c r="B49" s="136" t="str">
        <f>工程量计算稿!B48</f>
        <v>土方开挖</v>
      </c>
      <c r="C49" s="137" t="str">
        <f>工程量计算稿!C48</f>
        <v>m3</v>
      </c>
      <c r="D49" s="145"/>
      <c r="E49" s="139">
        <f>结算审核表!I50</f>
        <v>886.2</v>
      </c>
      <c r="F49" s="140">
        <f ca="1">工程量计算稿!E48</f>
        <v>886.2</v>
      </c>
      <c r="G49" s="141">
        <f ca="1" t="shared" si="3"/>
        <v>886.2</v>
      </c>
      <c r="H49" s="141">
        <f ca="1" t="shared" si="4"/>
        <v>0</v>
      </c>
      <c r="I49" s="169"/>
      <c r="J49" s="170"/>
    </row>
    <row r="50" ht="16.5" customHeight="1" spans="1:14">
      <c r="A50" s="135">
        <f>工程量计算稿!A49</f>
        <v>2</v>
      </c>
      <c r="B50" s="136" t="str">
        <f>工程量计算稿!B49</f>
        <v>石方开挖</v>
      </c>
      <c r="C50" s="137" t="str">
        <f>工程量计算稿!C49</f>
        <v>m3</v>
      </c>
      <c r="D50" s="145"/>
      <c r="E50" s="139">
        <f>结算审核表!I51</f>
        <v>241.5</v>
      </c>
      <c r="F50" s="140">
        <f ca="1">工程量计算稿!E49</f>
        <v>258.3</v>
      </c>
      <c r="G50" s="141">
        <f ca="1" t="shared" si="3"/>
        <v>258.3</v>
      </c>
      <c r="H50" s="141">
        <f ca="1" t="shared" si="4"/>
        <v>16.8</v>
      </c>
      <c r="I50" s="169"/>
      <c r="J50" s="170"/>
      <c r="M50" s="171"/>
      <c r="N50" s="98"/>
    </row>
    <row r="51" ht="16.5" customHeight="1" spans="1:14">
      <c r="A51" s="128" t="str">
        <f>工程量计算稿!A50</f>
        <v>七</v>
      </c>
      <c r="B51" s="129" t="str">
        <f>工程量计算稿!B50</f>
        <v>新增管道开挖埋设工程</v>
      </c>
      <c r="C51" s="130"/>
      <c r="D51" s="131"/>
      <c r="E51" s="132"/>
      <c r="F51" s="133"/>
      <c r="G51" s="134"/>
      <c r="H51" s="134"/>
      <c r="I51" s="156"/>
      <c r="M51" s="171"/>
      <c r="N51" s="98"/>
    </row>
    <row r="52" ht="16.5" customHeight="1" spans="1:10">
      <c r="A52" s="135">
        <f>工程量计算稿!A51</f>
        <v>1</v>
      </c>
      <c r="B52" s="136" t="str">
        <f>工程量计算稿!B51</f>
        <v>土方开挖</v>
      </c>
      <c r="C52" s="137" t="str">
        <f>工程量计算稿!C51</f>
        <v>m3</v>
      </c>
      <c r="D52" s="145"/>
      <c r="E52" s="139">
        <f>结算审核表!I53</f>
        <v>2350</v>
      </c>
      <c r="F52" s="140">
        <f ca="1">工程量计算稿!E51</f>
        <v>2068</v>
      </c>
      <c r="G52" s="141">
        <f ca="1" t="shared" si="3"/>
        <v>2068</v>
      </c>
      <c r="H52" s="141">
        <f ca="1" t="shared" si="4"/>
        <v>-282</v>
      </c>
      <c r="I52" s="169"/>
      <c r="J52" s="170"/>
    </row>
    <row r="53" ht="16.5" customHeight="1" spans="1:14">
      <c r="A53" s="135">
        <f>工程量计算稿!A52</f>
        <v>2</v>
      </c>
      <c r="B53" s="136" t="str">
        <f>工程量计算稿!B52</f>
        <v>土石方回填</v>
      </c>
      <c r="C53" s="137" t="str">
        <f>工程量计算稿!C52</f>
        <v>m3</v>
      </c>
      <c r="D53" s="145"/>
      <c r="E53" s="139">
        <f>结算审核表!I54</f>
        <v>2303.88</v>
      </c>
      <c r="F53" s="140">
        <f ca="1">工程量计算稿!E52</f>
        <v>2044.893368</v>
      </c>
      <c r="G53" s="141">
        <f ca="1" t="shared" si="3"/>
        <v>2044.893368</v>
      </c>
      <c r="H53" s="141">
        <f ca="1" t="shared" si="4"/>
        <v>-258.986632</v>
      </c>
      <c r="I53" s="169"/>
      <c r="J53" s="170"/>
      <c r="M53" s="171"/>
      <c r="N53" s="98"/>
    </row>
    <row r="54" ht="16.5" customHeight="1" spans="1:14">
      <c r="A54" s="128" t="str">
        <f>工程量计算稿!A53</f>
        <v>八</v>
      </c>
      <c r="B54" s="129" t="str">
        <f>工程量计算稿!B53</f>
        <v>新增厂区附属工程</v>
      </c>
      <c r="C54" s="130"/>
      <c r="D54" s="131"/>
      <c r="E54" s="132"/>
      <c r="F54" s="133"/>
      <c r="G54" s="134"/>
      <c r="H54" s="134"/>
      <c r="I54" s="156"/>
      <c r="M54" s="171"/>
      <c r="N54" s="98"/>
    </row>
    <row r="55" ht="16.5" customHeight="1" spans="1:10">
      <c r="A55" s="135">
        <f>工程量计算稿!A54</f>
        <v>1</v>
      </c>
      <c r="B55" s="136" t="str">
        <f>工程量计算稿!B54</f>
        <v>沟渠土方开挖</v>
      </c>
      <c r="C55" s="137" t="str">
        <f>工程量计算稿!C54</f>
        <v>m3</v>
      </c>
      <c r="D55" s="145"/>
      <c r="E55" s="139">
        <f>结算审核表!I56</f>
        <v>29.45</v>
      </c>
      <c r="F55" s="140">
        <f ca="1">工程量计算稿!E54</f>
        <v>22.337312</v>
      </c>
      <c r="G55" s="141">
        <f ca="1" t="shared" si="3"/>
        <v>22.337312</v>
      </c>
      <c r="H55" s="141">
        <f ca="1" t="shared" si="4"/>
        <v>-7.112688</v>
      </c>
      <c r="I55" s="169"/>
      <c r="J55" s="170"/>
    </row>
    <row r="56" ht="16.5" customHeight="1" spans="1:14">
      <c r="A56" s="135">
        <f>工程量计算稿!A55</f>
        <v>2</v>
      </c>
      <c r="B56" s="136" t="str">
        <f>工程量计算稿!B55</f>
        <v>沟渠模板制安</v>
      </c>
      <c r="C56" s="137" t="str">
        <f>工程量计算稿!C55</f>
        <v>m3</v>
      </c>
      <c r="D56" s="145"/>
      <c r="E56" s="139">
        <f>结算审核表!I57</f>
        <v>121.05</v>
      </c>
      <c r="F56" s="140">
        <f ca="1">工程量计算稿!E55</f>
        <v>39.6671</v>
      </c>
      <c r="G56" s="141">
        <f ca="1" t="shared" si="3"/>
        <v>39.6671</v>
      </c>
      <c r="H56" s="141">
        <f ca="1" t="shared" si="4"/>
        <v>-81.3829</v>
      </c>
      <c r="I56" s="169"/>
      <c r="J56" s="170"/>
      <c r="M56" s="171"/>
      <c r="N56" s="98"/>
    </row>
    <row r="57" ht="16.5" customHeight="1" spans="1:14">
      <c r="A57" s="135">
        <f>工程量计算稿!A56</f>
        <v>3</v>
      </c>
      <c r="B57" s="136" t="str">
        <f>工程量计算稿!B56</f>
        <v>沟渠C25现浇砼</v>
      </c>
      <c r="C57" s="137" t="str">
        <f>工程量计算稿!C56</f>
        <v>m3</v>
      </c>
      <c r="D57" s="145"/>
      <c r="E57" s="139">
        <f>结算审核表!I58</f>
        <v>15.99</v>
      </c>
      <c r="F57" s="140">
        <f ca="1">工程量计算稿!E56</f>
        <v>11.211886</v>
      </c>
      <c r="G57" s="141">
        <f ca="1" t="shared" si="3"/>
        <v>11.211886</v>
      </c>
      <c r="H57" s="141">
        <f ca="1" t="shared" si="4"/>
        <v>-4.778114</v>
      </c>
      <c r="I57" s="169"/>
      <c r="J57" s="170"/>
      <c r="M57" s="171"/>
      <c r="N57" s="98"/>
    </row>
    <row r="58" ht="16.5" customHeight="1" spans="1:14">
      <c r="A58" s="135">
        <f>工程量计算稿!A57</f>
        <v>4</v>
      </c>
      <c r="B58" s="136" t="str">
        <f>工程量计算稿!B57</f>
        <v>挡土墙现浇砼</v>
      </c>
      <c r="C58" s="137" t="str">
        <f>工程量计算稿!C57</f>
        <v>m3</v>
      </c>
      <c r="D58" s="145"/>
      <c r="E58" s="139">
        <f>结算审核表!I59</f>
        <v>70.47</v>
      </c>
      <c r="F58" s="140">
        <f ca="1">工程量计算稿!E57</f>
        <v>53.8756</v>
      </c>
      <c r="G58" s="141">
        <f ca="1" t="shared" si="3"/>
        <v>53.8756</v>
      </c>
      <c r="H58" s="141">
        <f ca="1" t="shared" si="4"/>
        <v>-16.5944</v>
      </c>
      <c r="I58" s="169"/>
      <c r="J58" s="170"/>
      <c r="M58" s="171"/>
      <c r="N58" s="98"/>
    </row>
    <row r="59" ht="16.5" customHeight="1" spans="1:14">
      <c r="A59" s="135">
        <f>工程量计算稿!A58</f>
        <v>5</v>
      </c>
      <c r="B59" s="136" t="str">
        <f>工程量计算稿!B58</f>
        <v>挡土墙模板制安</v>
      </c>
      <c r="C59" s="137" t="str">
        <f>工程量计算稿!C58</f>
        <v>m2</v>
      </c>
      <c r="D59" s="145"/>
      <c r="E59" s="139">
        <f>结算审核表!I60</f>
        <v>93.95</v>
      </c>
      <c r="F59" s="140">
        <f ca="1">工程量计算稿!E58</f>
        <v>73.396</v>
      </c>
      <c r="G59" s="141">
        <f ca="1" t="shared" si="3"/>
        <v>73.396</v>
      </c>
      <c r="H59" s="141">
        <f ca="1" t="shared" si="4"/>
        <v>-20.554</v>
      </c>
      <c r="I59" s="169"/>
      <c r="J59" s="170"/>
      <c r="M59" s="171"/>
      <c r="N59" s="98"/>
    </row>
    <row r="60" ht="16.5" customHeight="1" spans="1:14">
      <c r="A60" s="135">
        <f>工程量计算稿!A59</f>
        <v>6</v>
      </c>
      <c r="B60" s="136" t="str">
        <f>工程量计算稿!B59</f>
        <v>梯步现浇砼</v>
      </c>
      <c r="C60" s="137" t="str">
        <f>工程量计算稿!C59</f>
        <v>m3</v>
      </c>
      <c r="D60" s="145"/>
      <c r="E60" s="139">
        <f>结算审核表!I61</f>
        <v>1.94</v>
      </c>
      <c r="F60" s="140">
        <f ca="1">工程量计算稿!E59</f>
        <v>1.45322128060208</v>
      </c>
      <c r="G60" s="141">
        <f ca="1" t="shared" si="3"/>
        <v>1.45322128060208</v>
      </c>
      <c r="H60" s="141">
        <f ca="1" t="shared" si="4"/>
        <v>-0.486778719397922</v>
      </c>
      <c r="I60" s="169"/>
      <c r="J60" s="170"/>
      <c r="M60" s="171"/>
      <c r="N60" s="98"/>
    </row>
    <row r="61" ht="16.5" customHeight="1" spans="1:14">
      <c r="A61" s="135">
        <f>工程量计算稿!A60</f>
        <v>7</v>
      </c>
      <c r="B61" s="136" t="str">
        <f>工程量计算稿!B60</f>
        <v>梯步模板制安</v>
      </c>
      <c r="C61" s="137" t="str">
        <f>工程量计算稿!C60</f>
        <v>m2</v>
      </c>
      <c r="D61" s="145"/>
      <c r="E61" s="139">
        <f>结算审核表!I62</f>
        <v>5.18</v>
      </c>
      <c r="F61" s="140">
        <f ca="1">工程量计算稿!E60</f>
        <v>4.4</v>
      </c>
      <c r="G61" s="141">
        <f ca="1" t="shared" si="3"/>
        <v>4.4</v>
      </c>
      <c r="H61" s="141">
        <f ca="1" t="shared" si="4"/>
        <v>-0.779999999999999</v>
      </c>
      <c r="I61" s="169"/>
      <c r="J61" s="170"/>
      <c r="M61" s="171"/>
      <c r="N61" s="98"/>
    </row>
    <row r="62" ht="16.5" customHeight="1" spans="1:14">
      <c r="A62" s="128" t="str">
        <f>工程量计算稿!A61</f>
        <v>增补</v>
      </c>
      <c r="B62" s="129" t="str">
        <f>工程量计算稿!B61</f>
        <v>镀锌钢管河道砼埋设</v>
      </c>
      <c r="C62" s="130"/>
      <c r="D62" s="130"/>
      <c r="E62" s="130"/>
      <c r="F62" s="130"/>
      <c r="G62" s="130"/>
      <c r="H62" s="130"/>
      <c r="I62" s="130"/>
      <c r="M62" s="171"/>
      <c r="N62" s="98"/>
    </row>
    <row r="63" ht="16.5" customHeight="1" spans="1:14">
      <c r="A63" s="135">
        <f>工程量计算稿!A62</f>
        <v>1</v>
      </c>
      <c r="B63" s="136" t="str">
        <f>工程量计算稿!B62</f>
        <v>钢筋锚杆</v>
      </c>
      <c r="C63" s="137" t="str">
        <f>工程量计算稿!C62</f>
        <v>t</v>
      </c>
      <c r="D63" s="145"/>
      <c r="E63" s="139">
        <v>0.04</v>
      </c>
      <c r="F63" s="146">
        <f ca="1">工程量计算稿!E62</f>
        <v>0.04027776</v>
      </c>
      <c r="G63" s="142">
        <f ca="1" t="shared" ref="G63:G66" si="5">F63-D63</f>
        <v>0.04027776</v>
      </c>
      <c r="H63" s="142">
        <f ca="1" t="shared" ref="H63:H66" si="6">F63-E63</f>
        <v>0.000277760000000002</v>
      </c>
      <c r="I63" s="169"/>
      <c r="J63" s="170"/>
      <c r="M63" s="171"/>
      <c r="N63" s="98"/>
    </row>
    <row r="64" ht="16.5" customHeight="1" spans="1:14">
      <c r="A64" s="135">
        <f>工程量计算稿!A63</f>
        <v>2</v>
      </c>
      <c r="B64" s="136" t="str">
        <f>工程量计算稿!B63</f>
        <v>C25砼</v>
      </c>
      <c r="C64" s="137" t="str">
        <f>工程量计算稿!C63</f>
        <v>m3</v>
      </c>
      <c r="D64" s="145"/>
      <c r="E64" s="139">
        <v>7.6</v>
      </c>
      <c r="F64" s="140">
        <f ca="1">工程量计算稿!E63</f>
        <v>7.6</v>
      </c>
      <c r="G64" s="141">
        <f ca="1" t="shared" si="5"/>
        <v>7.6</v>
      </c>
      <c r="H64" s="141">
        <f ca="1" t="shared" si="6"/>
        <v>0</v>
      </c>
      <c r="I64" s="169"/>
      <c r="J64" s="170"/>
      <c r="M64" s="171"/>
      <c r="N64" s="98"/>
    </row>
    <row r="65" ht="16.5" customHeight="1" spans="1:14">
      <c r="A65" s="135">
        <f>工程量计算稿!A64</f>
        <v>3</v>
      </c>
      <c r="B65" s="136" t="str">
        <f>工程量计算稿!B64</f>
        <v>模板制安</v>
      </c>
      <c r="C65" s="137" t="str">
        <f>工程量计算稿!C64</f>
        <v>m2</v>
      </c>
      <c r="D65" s="145"/>
      <c r="E65" s="139">
        <v>53.2</v>
      </c>
      <c r="F65" s="140">
        <f ca="1">工程量计算稿!E64</f>
        <v>15.2</v>
      </c>
      <c r="G65" s="141">
        <f ca="1" t="shared" si="5"/>
        <v>15.2</v>
      </c>
      <c r="H65" s="141">
        <f ca="1" t="shared" si="6"/>
        <v>-38</v>
      </c>
      <c r="I65" s="169"/>
      <c r="J65" s="170"/>
      <c r="M65" s="171"/>
      <c r="N65" s="98"/>
    </row>
    <row r="66" ht="16.5" customHeight="1" spans="1:14">
      <c r="A66" s="135">
        <f>工程量计算稿!A65</f>
        <v>4</v>
      </c>
      <c r="B66" s="136" t="str">
        <f>工程量计算稿!B65</f>
        <v>锚杆钻孔（孔深20cm）</v>
      </c>
      <c r="C66" s="137" t="str">
        <f>工程量计算稿!C65</f>
        <v>个</v>
      </c>
      <c r="D66" s="145"/>
      <c r="E66" s="139">
        <v>60</v>
      </c>
      <c r="F66" s="140">
        <f ca="1">工程量计算稿!E65</f>
        <v>60</v>
      </c>
      <c r="G66" s="141">
        <f ca="1" t="shared" si="5"/>
        <v>60</v>
      </c>
      <c r="H66" s="141">
        <f ca="1" t="shared" si="6"/>
        <v>0</v>
      </c>
      <c r="I66" s="169"/>
      <c r="J66" s="159" t="s">
        <v>70</v>
      </c>
      <c r="K66" s="150">
        <f ca="1" t="shared" ref="K66:K75" si="7">G66</f>
        <v>60</v>
      </c>
      <c r="L66" s="150">
        <f ca="1" t="shared" ref="L66:L75" si="8">H66</f>
        <v>0</v>
      </c>
      <c r="M66" s="171"/>
      <c r="N66" s="98"/>
    </row>
    <row r="67" ht="16.5" customHeight="1" spans="1:14">
      <c r="A67" s="172"/>
      <c r="B67" s="173" t="str">
        <f>工程量计算稿!B66</f>
        <v>第二部分 机电设备安装工程</v>
      </c>
      <c r="C67" s="174"/>
      <c r="D67" s="175"/>
      <c r="E67" s="176"/>
      <c r="F67" s="177"/>
      <c r="G67" s="178"/>
      <c r="H67" s="178"/>
      <c r="I67" s="183"/>
      <c r="M67" s="171"/>
      <c r="N67" s="98"/>
    </row>
    <row r="68" s="98" customFormat="1" ht="16.5" customHeight="1" spans="1:13">
      <c r="A68" s="128" t="str">
        <f>工程量计算稿!A67</f>
        <v>一</v>
      </c>
      <c r="B68" s="129" t="str">
        <f>工程量计算稿!B67</f>
        <v>新增设备安装工程</v>
      </c>
      <c r="C68" s="179"/>
      <c r="D68" s="180"/>
      <c r="E68" s="144"/>
      <c r="F68" s="181"/>
      <c r="G68" s="182"/>
      <c r="H68" s="182"/>
      <c r="I68" s="184"/>
      <c r="J68" s="105"/>
      <c r="K68" s="105"/>
      <c r="L68" s="105"/>
      <c r="M68" s="171"/>
    </row>
    <row r="69" ht="16.5" customHeight="1" spans="1:14">
      <c r="A69" s="135">
        <f>工程量计算稿!A68</f>
        <v>1</v>
      </c>
      <c r="B69" s="136" t="str">
        <f>工程量计算稿!B68</f>
        <v>滑坡DN125mm镀锌管维修</v>
      </c>
      <c r="C69" s="137" t="str">
        <f>工程量计算稿!C68</f>
        <v>m</v>
      </c>
      <c r="D69" s="145"/>
      <c r="E69" s="139">
        <f>结算审核表!I70</f>
        <v>40</v>
      </c>
      <c r="F69" s="140">
        <f ca="1">工程量计算稿!E68</f>
        <v>40</v>
      </c>
      <c r="G69" s="141">
        <f ca="1" t="shared" ref="G69:G75" si="9">F69-D69</f>
        <v>40</v>
      </c>
      <c r="H69" s="141">
        <f ca="1" t="shared" ref="H69:H75" si="10">F69-E69</f>
        <v>0</v>
      </c>
      <c r="I69" s="169"/>
      <c r="J69" s="159" t="s">
        <v>71</v>
      </c>
      <c r="K69" s="150">
        <f ca="1">G69+G78</f>
        <v>-8460</v>
      </c>
      <c r="L69" s="150">
        <f ca="1">H69+H78</f>
        <v>0</v>
      </c>
      <c r="M69" s="171"/>
      <c r="N69" s="98"/>
    </row>
    <row r="70" ht="16.5" customHeight="1" spans="1:14">
      <c r="A70" s="135">
        <f>工程量计算稿!A69</f>
        <v>2</v>
      </c>
      <c r="B70" s="136" t="str">
        <f>工程量计算稿!B69</f>
        <v>水毁DN100mm镀锌管维修</v>
      </c>
      <c r="C70" s="137" t="str">
        <f>工程量计算稿!C69</f>
        <v>m</v>
      </c>
      <c r="D70" s="145"/>
      <c r="E70" s="139">
        <f>结算审核表!I71</f>
        <v>80</v>
      </c>
      <c r="F70" s="140">
        <f ca="1">工程量计算稿!E69</f>
        <v>80</v>
      </c>
      <c r="G70" s="141">
        <f ca="1" t="shared" si="9"/>
        <v>80</v>
      </c>
      <c r="H70" s="141">
        <f ca="1" t="shared" si="10"/>
        <v>0</v>
      </c>
      <c r="I70" s="169"/>
      <c r="J70" s="159" t="s">
        <v>72</v>
      </c>
      <c r="K70" s="150">
        <f ca="1">G70+G79</f>
        <v>-2420</v>
      </c>
      <c r="L70" s="150">
        <f ca="1">H70+H79</f>
        <v>0</v>
      </c>
      <c r="M70" s="171"/>
      <c r="N70" s="98"/>
    </row>
    <row r="71" ht="16.5" customHeight="1" spans="1:14">
      <c r="A71" s="135">
        <f>工程量计算稿!A70</f>
        <v>3</v>
      </c>
      <c r="B71" s="136" t="str">
        <f>工程量计算稿!B70</f>
        <v>DN65mm镀锌管购买</v>
      </c>
      <c r="C71" s="137" t="str">
        <f>工程量计算稿!C70</f>
        <v>m</v>
      </c>
      <c r="D71" s="145"/>
      <c r="E71" s="139">
        <f>结算审核表!I72</f>
        <v>190</v>
      </c>
      <c r="F71" s="140">
        <f ca="1">工程量计算稿!E70</f>
        <v>190</v>
      </c>
      <c r="G71" s="141">
        <f ca="1" t="shared" si="9"/>
        <v>190</v>
      </c>
      <c r="H71" s="141">
        <f ca="1" t="shared" si="10"/>
        <v>0</v>
      </c>
      <c r="I71" s="169"/>
      <c r="J71" s="159" t="s">
        <v>73</v>
      </c>
      <c r="K71" s="150">
        <f ca="1" t="shared" si="7"/>
        <v>190</v>
      </c>
      <c r="L71" s="150">
        <f ca="1" t="shared" si="8"/>
        <v>0</v>
      </c>
      <c r="M71" s="171"/>
      <c r="N71" s="98"/>
    </row>
    <row r="72" ht="16.5" customHeight="1" spans="1:14">
      <c r="A72" s="135">
        <f>工程量计算稿!A71</f>
        <v>4</v>
      </c>
      <c r="B72" s="136" t="str">
        <f>工程量计算稿!B71</f>
        <v>DN65mm加压阀、水表、表前阀、闸阀</v>
      </c>
      <c r="C72" s="137" t="str">
        <f>工程量计算稿!C71</f>
        <v>套</v>
      </c>
      <c r="D72" s="145"/>
      <c r="E72" s="139">
        <f>结算审核表!I73</f>
        <v>4</v>
      </c>
      <c r="F72" s="140">
        <f ca="1">工程量计算稿!E71</f>
        <v>4</v>
      </c>
      <c r="G72" s="141">
        <f ca="1" t="shared" si="9"/>
        <v>4</v>
      </c>
      <c r="H72" s="141">
        <f ca="1" t="shared" si="10"/>
        <v>0</v>
      </c>
      <c r="I72" s="169"/>
      <c r="J72" s="159" t="str">
        <f t="shared" ref="J72:J75" si="11">B72</f>
        <v>DN65mm加压阀、水表、表前阀、闸阀</v>
      </c>
      <c r="K72" s="150">
        <f ca="1" t="shared" si="7"/>
        <v>4</v>
      </c>
      <c r="L72" s="150">
        <f ca="1" t="shared" si="8"/>
        <v>0</v>
      </c>
      <c r="M72" s="171"/>
      <c r="N72" s="98"/>
    </row>
    <row r="73" ht="16.5" customHeight="1" spans="1:14">
      <c r="A73" s="135">
        <f>工程量计算稿!A72</f>
        <v>5</v>
      </c>
      <c r="B73" s="136" t="str">
        <f>工程量计算稿!B72</f>
        <v>DN150mm高压闸阀</v>
      </c>
      <c r="C73" s="137" t="str">
        <f>工程量计算稿!C72</f>
        <v>只</v>
      </c>
      <c r="D73" s="145"/>
      <c r="E73" s="139">
        <f>结算审核表!I74</f>
        <v>1</v>
      </c>
      <c r="F73" s="140">
        <f ca="1">工程量计算稿!E72</f>
        <v>1</v>
      </c>
      <c r="G73" s="141">
        <f ca="1" t="shared" si="9"/>
        <v>1</v>
      </c>
      <c r="H73" s="141">
        <f ca="1" t="shared" si="10"/>
        <v>0</v>
      </c>
      <c r="I73" s="169"/>
      <c r="J73" s="159" t="str">
        <f t="shared" si="11"/>
        <v>DN150mm高压闸阀</v>
      </c>
      <c r="K73" s="150">
        <f ca="1" t="shared" si="7"/>
        <v>1</v>
      </c>
      <c r="L73" s="150">
        <f ca="1" t="shared" si="8"/>
        <v>0</v>
      </c>
      <c r="M73" s="171"/>
      <c r="N73" s="98"/>
    </row>
    <row r="74" ht="16.5" customHeight="1" spans="1:14">
      <c r="A74" s="135">
        <f>工程量计算稿!A73</f>
        <v>6</v>
      </c>
      <c r="B74" s="136" t="str">
        <f>工程量计算稿!B73</f>
        <v>DN125mm高压闸阀</v>
      </c>
      <c r="C74" s="137" t="str">
        <f>工程量计算稿!C73</f>
        <v>只</v>
      </c>
      <c r="D74" s="145"/>
      <c r="E74" s="139">
        <f>结算审核表!I75</f>
        <v>1</v>
      </c>
      <c r="F74" s="140">
        <f ca="1">工程量计算稿!E73</f>
        <v>1</v>
      </c>
      <c r="G74" s="141">
        <f ca="1" t="shared" si="9"/>
        <v>1</v>
      </c>
      <c r="H74" s="141">
        <f ca="1" t="shared" si="10"/>
        <v>0</v>
      </c>
      <c r="I74" s="169"/>
      <c r="J74" s="159" t="str">
        <f t="shared" si="11"/>
        <v>DN125mm高压闸阀</v>
      </c>
      <c r="K74" s="150">
        <f ca="1" t="shared" si="7"/>
        <v>1</v>
      </c>
      <c r="L74" s="150">
        <f ca="1" t="shared" si="8"/>
        <v>0</v>
      </c>
      <c r="M74" s="171"/>
      <c r="N74" s="98"/>
    </row>
    <row r="75" ht="16.5" customHeight="1" spans="1:14">
      <c r="A75" s="135">
        <f>工程量计算稿!A74</f>
        <v>7</v>
      </c>
      <c r="B75" s="136" t="str">
        <f>工程量计算稿!B74</f>
        <v>DN100mm高压闸阀</v>
      </c>
      <c r="C75" s="137" t="str">
        <f>工程量计算稿!C74</f>
        <v>只</v>
      </c>
      <c r="D75" s="145"/>
      <c r="E75" s="139">
        <f>结算审核表!I76</f>
        <v>3</v>
      </c>
      <c r="F75" s="140">
        <f ca="1">工程量计算稿!E74</f>
        <v>3</v>
      </c>
      <c r="G75" s="141">
        <f ca="1" t="shared" si="9"/>
        <v>3</v>
      </c>
      <c r="H75" s="141">
        <f ca="1" t="shared" si="10"/>
        <v>0</v>
      </c>
      <c r="I75" s="169"/>
      <c r="J75" s="159" t="str">
        <f t="shared" si="11"/>
        <v>DN100mm高压闸阀</v>
      </c>
      <c r="K75" s="150">
        <f ca="1" t="shared" si="7"/>
        <v>3</v>
      </c>
      <c r="L75" s="150">
        <f ca="1" t="shared" si="8"/>
        <v>0</v>
      </c>
      <c r="M75" s="171"/>
      <c r="N75" s="98"/>
    </row>
    <row r="76" s="98" customFormat="1" ht="16.5" customHeight="1" spans="1:13">
      <c r="A76" s="128" t="str">
        <f>工程量计算稿!A75</f>
        <v>二</v>
      </c>
      <c r="B76" s="129" t="str">
        <f>工程量计算稿!B75</f>
        <v>管网安装工程</v>
      </c>
      <c r="C76" s="179"/>
      <c r="D76" s="180"/>
      <c r="E76" s="144"/>
      <c r="F76" s="181"/>
      <c r="G76" s="182"/>
      <c r="H76" s="182"/>
      <c r="I76" s="184"/>
      <c r="J76" s="105"/>
      <c r="K76" s="105"/>
      <c r="L76" s="105"/>
      <c r="M76" s="171"/>
    </row>
    <row r="77" ht="16.5" customHeight="1" spans="1:14">
      <c r="A77" s="135">
        <f>工程量计算稿!A76</f>
        <v>1</v>
      </c>
      <c r="B77" s="136" t="str">
        <f>工程量计算稿!B76</f>
        <v>DN150热镀锌钢管安装（供水主管）</v>
      </c>
      <c r="C77" s="137" t="str">
        <f>工程量计算稿!C76</f>
        <v>m</v>
      </c>
      <c r="D77" s="145">
        <f>结算审核表!D78</f>
        <v>2000</v>
      </c>
      <c r="E77" s="139">
        <f>结算审核表!I78</f>
        <v>0</v>
      </c>
      <c r="F77" s="140">
        <f ca="1">工程量计算稿!E76</f>
        <v>0</v>
      </c>
      <c r="G77" s="141">
        <f ca="1" t="shared" ref="G76:G88" si="12">F77-D77</f>
        <v>-2000</v>
      </c>
      <c r="H77" s="141">
        <f ca="1" t="shared" ref="H76:H88" si="13">F77-E77</f>
        <v>0</v>
      </c>
      <c r="I77" s="169"/>
      <c r="J77" s="159" t="str">
        <f t="shared" ref="J77:J85" si="14">B77</f>
        <v>DN150热镀锌钢管安装（供水主管）</v>
      </c>
      <c r="K77" s="150">
        <f ca="1" t="shared" ref="K77:K85" si="15">G77</f>
        <v>-2000</v>
      </c>
      <c r="L77" s="150">
        <f ca="1" t="shared" ref="L77:L85" si="16">H77</f>
        <v>0</v>
      </c>
      <c r="M77" s="171"/>
      <c r="N77" s="98"/>
    </row>
    <row r="78" ht="16.5" customHeight="1" spans="1:14">
      <c r="A78" s="135">
        <f>工程量计算稿!A77</f>
        <v>2</v>
      </c>
      <c r="B78" s="136" t="str">
        <f>工程量计算稿!B77</f>
        <v>DN125热镀锌钢管安装（供水主管）</v>
      </c>
      <c r="C78" s="137" t="str">
        <f>工程量计算稿!C77</f>
        <v>m</v>
      </c>
      <c r="D78" s="145">
        <f>结算审核表!D79</f>
        <v>8500</v>
      </c>
      <c r="E78" s="139">
        <f>结算审核表!I79</f>
        <v>0</v>
      </c>
      <c r="F78" s="140">
        <f ca="1">工程量计算稿!E77</f>
        <v>0</v>
      </c>
      <c r="G78" s="141">
        <f ca="1" t="shared" si="12"/>
        <v>-8500</v>
      </c>
      <c r="H78" s="141">
        <f ca="1" t="shared" si="13"/>
        <v>0</v>
      </c>
      <c r="I78" s="169"/>
      <c r="J78" s="159"/>
      <c r="K78" s="150"/>
      <c r="L78" s="150"/>
      <c r="M78" s="171"/>
      <c r="N78" s="98"/>
    </row>
    <row r="79" ht="16.5" customHeight="1" spans="1:14">
      <c r="A79" s="135">
        <f>工程量计算稿!A78</f>
        <v>3</v>
      </c>
      <c r="B79" s="136" t="str">
        <f>工程量计算稿!B78</f>
        <v>DN100热镀锌钢管安装（供水主管）</v>
      </c>
      <c r="C79" s="137" t="str">
        <f>工程量计算稿!C78</f>
        <v>m</v>
      </c>
      <c r="D79" s="145">
        <f>结算审核表!D80</f>
        <v>2500</v>
      </c>
      <c r="E79" s="139">
        <f>结算审核表!I80</f>
        <v>0</v>
      </c>
      <c r="F79" s="140">
        <f ca="1">工程量计算稿!E78</f>
        <v>0</v>
      </c>
      <c r="G79" s="141">
        <f ca="1" t="shared" si="12"/>
        <v>-2500</v>
      </c>
      <c r="H79" s="141">
        <f ca="1" t="shared" si="13"/>
        <v>0</v>
      </c>
      <c r="I79" s="169"/>
      <c r="J79" s="159"/>
      <c r="K79" s="150"/>
      <c r="L79" s="150"/>
      <c r="M79" s="171"/>
      <c r="N79" s="98"/>
    </row>
    <row r="80" ht="16.5" customHeight="1" spans="1:14">
      <c r="A80" s="135">
        <f>工程量计算稿!A79</f>
        <v>4</v>
      </c>
      <c r="B80" s="136" t="str">
        <f>工程量计算稿!B79</f>
        <v>dn63mmPE管安装（供水主管）</v>
      </c>
      <c r="C80" s="137" t="str">
        <f>工程量计算稿!C79</f>
        <v>m</v>
      </c>
      <c r="D80" s="145">
        <f>结算审核表!D81</f>
        <v>5500</v>
      </c>
      <c r="E80" s="139">
        <f>结算审核表!I81</f>
        <v>4500</v>
      </c>
      <c r="F80" s="140">
        <f ca="1">工程量计算稿!E79</f>
        <v>4500</v>
      </c>
      <c r="G80" s="141">
        <f ca="1" t="shared" si="12"/>
        <v>-1000</v>
      </c>
      <c r="H80" s="141">
        <f ca="1" t="shared" si="13"/>
        <v>0</v>
      </c>
      <c r="I80" s="169"/>
      <c r="J80" s="159" t="str">
        <f t="shared" si="14"/>
        <v>dn63mmPE管安装（供水主管）</v>
      </c>
      <c r="K80" s="150">
        <f ca="1" t="shared" si="15"/>
        <v>-1000</v>
      </c>
      <c r="L80" s="150">
        <f ca="1" t="shared" si="16"/>
        <v>0</v>
      </c>
      <c r="M80" s="171"/>
      <c r="N80" s="98"/>
    </row>
    <row r="81" ht="16.5" customHeight="1" spans="1:14">
      <c r="A81" s="135">
        <f>工程量计算稿!A80</f>
        <v>5</v>
      </c>
      <c r="B81" s="136" t="str">
        <f>工程量计算稿!B80</f>
        <v>dn50mmPE管安装（供水主管）</v>
      </c>
      <c r="C81" s="137" t="str">
        <f>工程量计算稿!C80</f>
        <v>m</v>
      </c>
      <c r="D81" s="145">
        <f>结算审核表!D82</f>
        <v>2400</v>
      </c>
      <c r="E81" s="139">
        <f>结算审核表!I82</f>
        <v>1200</v>
      </c>
      <c r="F81" s="140">
        <f ca="1">工程量计算稿!E80</f>
        <v>1200</v>
      </c>
      <c r="G81" s="141">
        <f ca="1" t="shared" si="12"/>
        <v>-1200</v>
      </c>
      <c r="H81" s="141">
        <f ca="1" t="shared" si="13"/>
        <v>0</v>
      </c>
      <c r="I81" s="169"/>
      <c r="J81" s="159" t="str">
        <f t="shared" si="14"/>
        <v>dn50mmPE管安装（供水主管）</v>
      </c>
      <c r="K81" s="150">
        <f ca="1" t="shared" si="15"/>
        <v>-1200</v>
      </c>
      <c r="L81" s="150">
        <f ca="1" t="shared" si="16"/>
        <v>0</v>
      </c>
      <c r="M81" s="171"/>
      <c r="N81" s="98"/>
    </row>
    <row r="82" ht="16.5" customHeight="1" spans="1:14">
      <c r="A82" s="135">
        <f>工程量计算稿!A81</f>
        <v>6</v>
      </c>
      <c r="B82" s="136" t="str">
        <f>工程量计算稿!B81</f>
        <v>dn40mmPE管安装（供水主管）</v>
      </c>
      <c r="C82" s="137" t="str">
        <f>工程量计算稿!C81</f>
        <v>m</v>
      </c>
      <c r="D82" s="145">
        <f>结算审核表!D83</f>
        <v>2900</v>
      </c>
      <c r="E82" s="139">
        <f>结算审核表!I83</f>
        <v>2000</v>
      </c>
      <c r="F82" s="140">
        <f ca="1">工程量计算稿!E81</f>
        <v>2000</v>
      </c>
      <c r="G82" s="141">
        <f ca="1" t="shared" si="12"/>
        <v>-900</v>
      </c>
      <c r="H82" s="141">
        <f ca="1" t="shared" si="13"/>
        <v>0</v>
      </c>
      <c r="I82" s="169"/>
      <c r="J82" s="159" t="str">
        <f t="shared" si="14"/>
        <v>dn40mmPE管安装（供水主管）</v>
      </c>
      <c r="K82" s="150">
        <f ca="1" t="shared" si="15"/>
        <v>-900</v>
      </c>
      <c r="L82" s="150">
        <f ca="1" t="shared" si="16"/>
        <v>0</v>
      </c>
      <c r="M82" s="171"/>
      <c r="N82" s="98"/>
    </row>
    <row r="83" ht="16.5" customHeight="1" spans="1:14">
      <c r="A83" s="135">
        <f>工程量计算稿!A82</f>
        <v>7</v>
      </c>
      <c r="B83" s="136" t="str">
        <f>工程量计算稿!B82</f>
        <v>dn32mmPE管安装（供水主管）</v>
      </c>
      <c r="C83" s="137" t="str">
        <f>工程量计算稿!C82</f>
        <v>m</v>
      </c>
      <c r="D83" s="145">
        <f>结算审核表!D84</f>
        <v>4500</v>
      </c>
      <c r="E83" s="139">
        <f>结算审核表!I84</f>
        <v>3800</v>
      </c>
      <c r="F83" s="140">
        <f ca="1">工程量计算稿!E82</f>
        <v>3800</v>
      </c>
      <c r="G83" s="141">
        <f ca="1" t="shared" si="12"/>
        <v>-700</v>
      </c>
      <c r="H83" s="141">
        <f ca="1" t="shared" si="13"/>
        <v>0</v>
      </c>
      <c r="I83" s="169"/>
      <c r="J83" s="159" t="str">
        <f t="shared" si="14"/>
        <v>dn32mmPE管安装（供水主管）</v>
      </c>
      <c r="K83" s="150">
        <f ca="1" t="shared" si="15"/>
        <v>-700</v>
      </c>
      <c r="L83" s="150">
        <f ca="1" t="shared" si="16"/>
        <v>0</v>
      </c>
      <c r="M83" s="171"/>
      <c r="N83" s="98"/>
    </row>
    <row r="84" ht="16.5" customHeight="1" spans="1:14">
      <c r="A84" s="135">
        <f>工程量计算稿!A83</f>
        <v>8</v>
      </c>
      <c r="B84" s="136" t="str">
        <f>工程量计算稿!B83</f>
        <v>dn25mmPE管安装（供水主管）</v>
      </c>
      <c r="C84" s="137" t="str">
        <f>工程量计算稿!C83</f>
        <v>m</v>
      </c>
      <c r="D84" s="145">
        <f>结算审核表!D85</f>
        <v>6000</v>
      </c>
      <c r="E84" s="139">
        <f>结算审核表!I85</f>
        <v>6000</v>
      </c>
      <c r="F84" s="140">
        <f ca="1">工程量计算稿!E83</f>
        <v>6000</v>
      </c>
      <c r="G84" s="141">
        <f ca="1" t="shared" si="12"/>
        <v>0</v>
      </c>
      <c r="H84" s="141">
        <f ca="1" t="shared" si="13"/>
        <v>0</v>
      </c>
      <c r="I84" s="169"/>
      <c r="J84" s="159" t="str">
        <f t="shared" si="14"/>
        <v>dn25mmPE管安装（供水主管）</v>
      </c>
      <c r="K84" s="150">
        <f ca="1" t="shared" si="15"/>
        <v>0</v>
      </c>
      <c r="L84" s="150">
        <f ca="1" t="shared" si="16"/>
        <v>0</v>
      </c>
      <c r="M84" s="171"/>
      <c r="N84" s="98"/>
    </row>
    <row r="85" ht="16.5" customHeight="1" spans="1:14">
      <c r="A85" s="135">
        <f>工程量计算稿!A84</f>
        <v>9</v>
      </c>
      <c r="B85" s="136" t="str">
        <f>工程量计算稿!B84</f>
        <v>dn20mmPE管安装（下户管）</v>
      </c>
      <c r="C85" s="137" t="str">
        <f>工程量计算稿!C84</f>
        <v>m</v>
      </c>
      <c r="D85" s="145">
        <f>结算审核表!D86</f>
        <v>33000</v>
      </c>
      <c r="E85" s="139">
        <f>结算审核表!I86</f>
        <v>13000</v>
      </c>
      <c r="F85" s="140">
        <f ca="1">工程量计算稿!E84</f>
        <v>13000</v>
      </c>
      <c r="G85" s="141">
        <f ca="1" t="shared" si="12"/>
        <v>-20000</v>
      </c>
      <c r="H85" s="141">
        <f ca="1" t="shared" si="13"/>
        <v>0</v>
      </c>
      <c r="I85" s="169"/>
      <c r="J85" s="159" t="str">
        <f t="shared" si="14"/>
        <v>dn20mmPE管安装（下户管）</v>
      </c>
      <c r="K85" s="150">
        <f ca="1" t="shared" si="15"/>
        <v>-20000</v>
      </c>
      <c r="L85" s="150">
        <f ca="1" t="shared" si="16"/>
        <v>0</v>
      </c>
      <c r="M85" s="171"/>
      <c r="N85" s="98"/>
    </row>
    <row r="86" s="98" customFormat="1" ht="16.5" customHeight="1" spans="1:13">
      <c r="A86" s="128" t="str">
        <f>工程量计算稿!A85</f>
        <v>三</v>
      </c>
      <c r="B86" s="129" t="str">
        <f>工程量计算稿!B85</f>
        <v>政府采购PE管</v>
      </c>
      <c r="C86" s="179"/>
      <c r="D86" s="180"/>
      <c r="E86" s="144"/>
      <c r="F86" s="181"/>
      <c r="G86" s="182"/>
      <c r="H86" s="182"/>
      <c r="I86" s="184"/>
      <c r="J86" s="105"/>
      <c r="K86" s="105"/>
      <c r="L86" s="105"/>
      <c r="M86" s="171"/>
    </row>
    <row r="87" ht="16.5" customHeight="1" spans="1:14">
      <c r="A87" s="135">
        <f>工程量计算稿!A86</f>
        <v>1</v>
      </c>
      <c r="B87" s="136" t="str">
        <f>工程量计算稿!B86</f>
        <v>DN150热镀锌钢管安装（供水主管）</v>
      </c>
      <c r="C87" s="137" t="str">
        <f>工程量计算稿!C86</f>
        <v>m</v>
      </c>
      <c r="D87" s="145">
        <f>结算审核表!D88</f>
        <v>2000</v>
      </c>
      <c r="E87" s="139">
        <f>结算审核表!I88</f>
        <v>2000</v>
      </c>
      <c r="F87" s="140">
        <f ca="1">工程量计算稿!E86</f>
        <v>2000</v>
      </c>
      <c r="G87" s="141">
        <f ca="1">F87-D87</f>
        <v>0</v>
      </c>
      <c r="H87" s="141">
        <f ca="1">F87-E87</f>
        <v>0</v>
      </c>
      <c r="I87" s="185" t="s">
        <v>39</v>
      </c>
      <c r="M87" s="171"/>
      <c r="N87" s="98"/>
    </row>
    <row r="88" ht="16.5" customHeight="1" spans="1:14">
      <c r="A88" s="135">
        <f>工程量计算稿!A87</f>
        <v>2</v>
      </c>
      <c r="B88" s="136" t="str">
        <f>工程量计算稿!B87</f>
        <v>DN125热镀锌钢管安装（供水主管）</v>
      </c>
      <c r="C88" s="137" t="str">
        <f>工程量计算稿!C87</f>
        <v>m</v>
      </c>
      <c r="D88" s="145">
        <f>结算审核表!D89</f>
        <v>8500</v>
      </c>
      <c r="E88" s="139">
        <f>结算审核表!I89</f>
        <v>8500</v>
      </c>
      <c r="F88" s="140">
        <f ca="1">工程量计算稿!E87</f>
        <v>3500</v>
      </c>
      <c r="G88" s="141">
        <f ca="1" t="shared" ref="G88:G96" si="17">F88-D88</f>
        <v>-5000</v>
      </c>
      <c r="H88" s="141">
        <f ca="1" t="shared" ref="H88:H96" si="18">F88-E88</f>
        <v>-5000</v>
      </c>
      <c r="I88" s="186"/>
      <c r="M88" s="171"/>
      <c r="N88" s="98"/>
    </row>
    <row r="89" ht="16.5" customHeight="1" spans="1:14">
      <c r="A89" s="135">
        <f>工程量计算稿!A88</f>
        <v>3</v>
      </c>
      <c r="B89" s="136" t="str">
        <f>工程量计算稿!B88</f>
        <v>DN100热镀锌钢管安装（供水主管）</v>
      </c>
      <c r="C89" s="137" t="str">
        <f>工程量计算稿!C88</f>
        <v>m</v>
      </c>
      <c r="D89" s="145">
        <f>结算审核表!D90</f>
        <v>2500</v>
      </c>
      <c r="E89" s="139">
        <f>结算审核表!I90</f>
        <v>2500</v>
      </c>
      <c r="F89" s="140">
        <f ca="1">工程量计算稿!E88</f>
        <v>8000</v>
      </c>
      <c r="G89" s="141">
        <f ca="1" t="shared" si="17"/>
        <v>5500</v>
      </c>
      <c r="H89" s="141">
        <f ca="1" t="shared" si="18"/>
        <v>5500</v>
      </c>
      <c r="I89" s="186"/>
      <c r="M89" s="171"/>
      <c r="N89" s="98"/>
    </row>
    <row r="90" ht="16.5" customHeight="1" spans="1:14">
      <c r="A90" s="135">
        <f>工程量计算稿!A89</f>
        <v>4</v>
      </c>
      <c r="B90" s="136" t="str">
        <f>工程量计算稿!B89</f>
        <v>dn63mmPE管安装（供水主管）</v>
      </c>
      <c r="C90" s="137" t="str">
        <f>工程量计算稿!C89</f>
        <v>m</v>
      </c>
      <c r="D90" s="145">
        <f>结算审核表!D91</f>
        <v>5500</v>
      </c>
      <c r="E90" s="139">
        <f>结算审核表!I91</f>
        <v>4500</v>
      </c>
      <c r="F90" s="140">
        <f ca="1">工程量计算稿!E89</f>
        <v>4500</v>
      </c>
      <c r="G90" s="141">
        <f ca="1" t="shared" si="17"/>
        <v>-1000</v>
      </c>
      <c r="H90" s="141">
        <f ca="1" t="shared" si="18"/>
        <v>0</v>
      </c>
      <c r="I90" s="186"/>
      <c r="M90" s="171"/>
      <c r="N90" s="98"/>
    </row>
    <row r="91" ht="16.5" customHeight="1" spans="1:14">
      <c r="A91" s="135">
        <f>工程量计算稿!A90</f>
        <v>5</v>
      </c>
      <c r="B91" s="136" t="str">
        <f>工程量计算稿!B90</f>
        <v>dn50mmPE管安装（供水主管）</v>
      </c>
      <c r="C91" s="137" t="str">
        <f>工程量计算稿!C90</f>
        <v>m</v>
      </c>
      <c r="D91" s="145">
        <f>结算审核表!D92</f>
        <v>2400</v>
      </c>
      <c r="E91" s="139">
        <f>结算审核表!I92</f>
        <v>1200</v>
      </c>
      <c r="F91" s="140">
        <f ca="1">工程量计算稿!E90</f>
        <v>1200</v>
      </c>
      <c r="G91" s="141">
        <f ca="1" t="shared" si="17"/>
        <v>-1200</v>
      </c>
      <c r="H91" s="141">
        <f ca="1" t="shared" si="18"/>
        <v>0</v>
      </c>
      <c r="I91" s="186"/>
      <c r="M91" s="171"/>
      <c r="N91" s="98"/>
    </row>
    <row r="92" ht="16.5" customHeight="1" spans="1:14">
      <c r="A92" s="135">
        <f>工程量计算稿!A91</f>
        <v>6</v>
      </c>
      <c r="B92" s="136" t="str">
        <f>工程量计算稿!B91</f>
        <v>dn40mmPE管安装（供水主管）</v>
      </c>
      <c r="C92" s="137" t="str">
        <f>工程量计算稿!C91</f>
        <v>m</v>
      </c>
      <c r="D92" s="145">
        <f>结算审核表!D93</f>
        <v>2900</v>
      </c>
      <c r="E92" s="139">
        <f>结算审核表!I93</f>
        <v>2000</v>
      </c>
      <c r="F92" s="140">
        <f ca="1">工程量计算稿!E91</f>
        <v>2000</v>
      </c>
      <c r="G92" s="141">
        <f ca="1" t="shared" si="17"/>
        <v>-900</v>
      </c>
      <c r="H92" s="141">
        <f ca="1" t="shared" si="18"/>
        <v>0</v>
      </c>
      <c r="I92" s="186"/>
      <c r="M92" s="171"/>
      <c r="N92" s="98"/>
    </row>
    <row r="93" ht="16.5" customHeight="1" spans="1:14">
      <c r="A93" s="135">
        <f>工程量计算稿!A92</f>
        <v>7</v>
      </c>
      <c r="B93" s="136" t="str">
        <f>工程量计算稿!B92</f>
        <v>dn32mmPE管安装（供水主管）</v>
      </c>
      <c r="C93" s="137" t="str">
        <f>工程量计算稿!C92</f>
        <v>m</v>
      </c>
      <c r="D93" s="145">
        <f>结算审核表!D94</f>
        <v>4500</v>
      </c>
      <c r="E93" s="139">
        <f>结算审核表!I94</f>
        <v>3800</v>
      </c>
      <c r="F93" s="140">
        <f ca="1">工程量计算稿!E92</f>
        <v>3800</v>
      </c>
      <c r="G93" s="141">
        <f ca="1" t="shared" si="17"/>
        <v>-700</v>
      </c>
      <c r="H93" s="141">
        <f ca="1" t="shared" si="18"/>
        <v>0</v>
      </c>
      <c r="I93" s="186"/>
      <c r="M93" s="171"/>
      <c r="N93" s="98"/>
    </row>
    <row r="94" ht="16.5" customHeight="1" spans="1:14">
      <c r="A94" s="135">
        <f>工程量计算稿!A93</f>
        <v>8</v>
      </c>
      <c r="B94" s="136" t="str">
        <f>工程量计算稿!B93</f>
        <v>dn25mmPE管安装（供水主管）</v>
      </c>
      <c r="C94" s="137" t="str">
        <f>工程量计算稿!C93</f>
        <v>m</v>
      </c>
      <c r="D94" s="145">
        <f>结算审核表!D95</f>
        <v>6000</v>
      </c>
      <c r="E94" s="139">
        <f>结算审核表!I95</f>
        <v>6000</v>
      </c>
      <c r="F94" s="140">
        <f ca="1">工程量计算稿!E93</f>
        <v>6000</v>
      </c>
      <c r="G94" s="141">
        <f ca="1" t="shared" si="17"/>
        <v>0</v>
      </c>
      <c r="H94" s="141">
        <f ca="1" t="shared" si="18"/>
        <v>0</v>
      </c>
      <c r="I94" s="186"/>
      <c r="M94" s="171"/>
      <c r="N94" s="98"/>
    </row>
    <row r="95" ht="16.5" customHeight="1" spans="1:14">
      <c r="A95" s="135">
        <f>工程量计算稿!A94</f>
        <v>9</v>
      </c>
      <c r="B95" s="136" t="str">
        <f>工程量计算稿!B94</f>
        <v>dn20mmPE管安装（下户管）</v>
      </c>
      <c r="C95" s="137" t="str">
        <f>工程量计算稿!C94</f>
        <v>m</v>
      </c>
      <c r="D95" s="145">
        <f>结算审核表!D96</f>
        <v>33000</v>
      </c>
      <c r="E95" s="139">
        <f>结算审核表!I96</f>
        <v>13000</v>
      </c>
      <c r="F95" s="140">
        <f ca="1">工程量计算稿!E94</f>
        <v>13000</v>
      </c>
      <c r="G95" s="141">
        <f ca="1" t="shared" si="17"/>
        <v>-20000</v>
      </c>
      <c r="H95" s="141">
        <f ca="1" t="shared" si="18"/>
        <v>0</v>
      </c>
      <c r="I95" s="186"/>
      <c r="M95" s="171"/>
      <c r="N95" s="98"/>
    </row>
    <row r="96" ht="16.5" customHeight="1" spans="1:14">
      <c r="A96" s="135">
        <f>工程量计算稿!A95</f>
        <v>10</v>
      </c>
      <c r="B96" s="136" t="str">
        <f>工程量计算稿!B95</f>
        <v>各类管件</v>
      </c>
      <c r="C96" s="137" t="s">
        <v>58</v>
      </c>
      <c r="D96" s="145">
        <f>结算审核表!D97</f>
        <v>1</v>
      </c>
      <c r="E96" s="139">
        <f>结算审核表!I97</f>
        <v>1</v>
      </c>
      <c r="F96" s="140">
        <v>1</v>
      </c>
      <c r="G96" s="141">
        <f t="shared" si="17"/>
        <v>0</v>
      </c>
      <c r="H96" s="141">
        <f t="shared" si="18"/>
        <v>0</v>
      </c>
      <c r="I96" s="187"/>
      <c r="M96" s="171"/>
      <c r="N96" s="98"/>
    </row>
  </sheetData>
  <autoFilter ref="A1:L96">
    <extLst/>
  </autoFilter>
  <mergeCells count="11">
    <mergeCell ref="A1:I1"/>
    <mergeCell ref="A2:I2"/>
    <mergeCell ref="G3:H3"/>
    <mergeCell ref="A3:A4"/>
    <mergeCell ref="B3:B4"/>
    <mergeCell ref="C3:C4"/>
    <mergeCell ref="D3:D4"/>
    <mergeCell ref="E3:E4"/>
    <mergeCell ref="F3:F4"/>
    <mergeCell ref="I3:I4"/>
    <mergeCell ref="I87:I96"/>
  </mergeCells>
  <pageMargins left="0.393055555555556" right="0.196527777777778" top="0.472222222222222" bottom="0.66875" header="0.236111111111111" footer="0.432638888888889"/>
  <pageSetup paperSize="9" fitToHeight="0" orientation="portrait" horizontalDpi="600"/>
  <headerFooter>
    <oddHeader>&amp;R
&amp;10
第&amp;P页 共&amp;N页</oddHeader>
    <oddFooter>&amp;L&amp;10建设单位：&amp;C&amp;10施工单位：&amp;R&amp;10审核单位：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3"/>
  <sheetViews>
    <sheetView workbookViewId="0">
      <pane ySplit="3" topLeftCell="A4" activePane="bottomLeft" state="frozenSplit"/>
      <selection/>
      <selection pane="bottomLeft" activeCell="A1" sqref="$A1:$XFD1"/>
    </sheetView>
  </sheetViews>
  <sheetFormatPr defaultColWidth="9" defaultRowHeight="16.5" customHeight="1"/>
  <cols>
    <col min="1" max="1" width="6.125" style="27" customWidth="1"/>
    <col min="2" max="2" width="32.125" style="28" customWidth="1"/>
    <col min="3" max="3" width="5" style="27" customWidth="1"/>
    <col min="4" max="4" width="52.25" style="29" customWidth="1"/>
    <col min="5" max="5" width="8.88333333333333" style="21" customWidth="1"/>
    <col min="6" max="6" width="11.375" style="30" customWidth="1"/>
    <col min="7" max="7" width="10.3833333333333" style="21" hidden="1" customWidth="1"/>
    <col min="8" max="8" width="9.25" style="21" hidden="1" customWidth="1"/>
    <col min="9" max="9" width="11.1333333333333" style="21" hidden="1" customWidth="1"/>
    <col min="10" max="11" width="12.625" style="21" hidden="1" customWidth="1"/>
    <col min="12" max="12" width="9" style="21" hidden="1" customWidth="1"/>
    <col min="13" max="16384" width="9" style="21"/>
  </cols>
  <sheetData>
    <row r="1" ht="37" customHeight="1" spans="1:6">
      <c r="A1" s="31" t="s">
        <v>74</v>
      </c>
      <c r="B1" s="32"/>
      <c r="C1" s="31"/>
      <c r="D1" s="33"/>
      <c r="E1" s="34"/>
      <c r="F1" s="35"/>
    </row>
    <row r="2" s="21" customFormat="1" ht="21" customHeight="1" spans="1:6">
      <c r="A2" s="36" t="s">
        <v>22</v>
      </c>
      <c r="B2" s="36"/>
      <c r="C2" s="36"/>
      <c r="D2" s="37"/>
      <c r="E2" s="37"/>
      <c r="F2" s="37"/>
    </row>
    <row r="3" s="22" customFormat="1" customHeight="1" spans="1:6">
      <c r="A3" s="38" t="s">
        <v>45</v>
      </c>
      <c r="B3" s="39" t="s">
        <v>24</v>
      </c>
      <c r="C3" s="39" t="s">
        <v>25</v>
      </c>
      <c r="D3" s="40" t="s">
        <v>75</v>
      </c>
      <c r="E3" s="41" t="s">
        <v>76</v>
      </c>
      <c r="F3" s="42" t="s">
        <v>49</v>
      </c>
    </row>
    <row r="4" s="23" customFormat="1" customHeight="1" spans="1:6">
      <c r="A4" s="43"/>
      <c r="B4" s="44" t="s">
        <v>55</v>
      </c>
      <c r="C4" s="45"/>
      <c r="D4" s="46"/>
      <c r="E4" s="47"/>
      <c r="F4" s="48"/>
    </row>
    <row r="5" s="23" customFormat="1" customHeight="1" spans="1:6">
      <c r="A5" s="49" t="s">
        <v>77</v>
      </c>
      <c r="B5" s="50" t="s">
        <v>78</v>
      </c>
      <c r="C5" s="51" t="s">
        <v>0</v>
      </c>
      <c r="D5" s="52"/>
      <c r="E5" s="53"/>
      <c r="F5" s="54" t="s">
        <v>79</v>
      </c>
    </row>
    <row r="6" s="23" customFormat="1" customHeight="1" spans="1:10">
      <c r="A6" s="55">
        <v>1</v>
      </c>
      <c r="B6" s="56" t="s">
        <v>80</v>
      </c>
      <c r="C6" s="57" t="s">
        <v>81</v>
      </c>
      <c r="D6" s="58" t="s">
        <v>82</v>
      </c>
      <c r="E6" s="59">
        <f ca="1">EVALUATE(D6)</f>
        <v>41.40420956</v>
      </c>
      <c r="F6" s="60">
        <f>(3.14*4.84^2+3.14*5.57^2)/2*2.45</f>
        <v>209.44384825</v>
      </c>
      <c r="J6" s="78"/>
    </row>
    <row r="7" s="24" customFormat="1" customHeight="1" spans="1:11">
      <c r="A7" s="61">
        <v>2</v>
      </c>
      <c r="B7" s="56" t="s">
        <v>83</v>
      </c>
      <c r="C7" s="57" t="s">
        <v>81</v>
      </c>
      <c r="D7" s="58" t="s">
        <v>84</v>
      </c>
      <c r="E7" s="59">
        <f ca="1" t="shared" ref="E7:E38" si="0">EVALUATE(D7)</f>
        <v>165.61683824</v>
      </c>
      <c r="F7" s="62"/>
      <c r="K7" s="79"/>
    </row>
    <row r="8" s="23" customFormat="1" customHeight="1" spans="1:6">
      <c r="A8" s="61">
        <v>3</v>
      </c>
      <c r="B8" s="56" t="s">
        <v>85</v>
      </c>
      <c r="C8" s="57" t="s">
        <v>81</v>
      </c>
      <c r="D8" s="58" t="s">
        <v>86</v>
      </c>
      <c r="E8" s="59">
        <f ca="1" t="shared" si="0"/>
        <v>33.876989</v>
      </c>
      <c r="F8" s="62"/>
    </row>
    <row r="9" s="23" customFormat="1" customHeight="1" spans="1:6">
      <c r="A9" s="61">
        <v>4</v>
      </c>
      <c r="B9" s="56" t="s">
        <v>87</v>
      </c>
      <c r="C9" s="57" t="s">
        <v>81</v>
      </c>
      <c r="D9" s="23" t="s">
        <v>88</v>
      </c>
      <c r="E9" s="59">
        <f ca="1" t="shared" si="0"/>
        <v>21.4652912</v>
      </c>
      <c r="F9" s="62"/>
    </row>
    <row r="10" s="23" customFormat="1" customHeight="1" spans="1:6">
      <c r="A10" s="61">
        <v>5</v>
      </c>
      <c r="B10" s="56" t="s">
        <v>89</v>
      </c>
      <c r="C10" s="57" t="s">
        <v>81</v>
      </c>
      <c r="D10" s="58" t="s">
        <v>90</v>
      </c>
      <c r="E10" s="59">
        <f ca="1" t="shared" si="0"/>
        <v>11.8232496</v>
      </c>
      <c r="F10" s="62"/>
    </row>
    <row r="11" s="25" customFormat="1" customHeight="1" spans="1:6">
      <c r="A11" s="61">
        <v>6</v>
      </c>
      <c r="B11" s="56" t="s">
        <v>91</v>
      </c>
      <c r="C11" s="57" t="s">
        <v>81</v>
      </c>
      <c r="D11" s="58" t="s">
        <v>92</v>
      </c>
      <c r="E11" s="59">
        <f ca="1" t="shared" si="0"/>
        <v>21.259422</v>
      </c>
      <c r="F11" s="63"/>
    </row>
    <row r="12" s="23" customFormat="1" customHeight="1" spans="1:6">
      <c r="A12" s="61">
        <v>7</v>
      </c>
      <c r="B12" s="56" t="s">
        <v>93</v>
      </c>
      <c r="C12" s="57" t="s">
        <v>94</v>
      </c>
      <c r="D12" s="58" t="s">
        <v>95</v>
      </c>
      <c r="E12" s="59">
        <f ca="1" t="shared" si="0"/>
        <v>79.10684</v>
      </c>
      <c r="F12" s="62"/>
    </row>
    <row r="13" s="23" customFormat="1" ht="30" customHeight="1" spans="1:8">
      <c r="A13" s="61">
        <v>8</v>
      </c>
      <c r="B13" s="56" t="s">
        <v>96</v>
      </c>
      <c r="C13" s="57" t="s">
        <v>97</v>
      </c>
      <c r="D13" s="58" t="s">
        <v>98</v>
      </c>
      <c r="E13" s="59">
        <f ca="1" t="shared" si="0"/>
        <v>1376.3381</v>
      </c>
      <c r="F13" s="62" t="s">
        <v>99</v>
      </c>
      <c r="H13" s="23">
        <f>(0.25+0.45-0.03*8+0.08*2)</f>
        <v>0.62</v>
      </c>
    </row>
    <row r="14" s="23" customFormat="1" customHeight="1" spans="1:9">
      <c r="A14" s="61">
        <v>9</v>
      </c>
      <c r="B14" s="56" t="s">
        <v>100</v>
      </c>
      <c r="C14" s="57" t="s">
        <v>94</v>
      </c>
      <c r="D14" s="58" t="s">
        <v>101</v>
      </c>
      <c r="E14" s="59">
        <f ca="1" t="shared" si="0"/>
        <v>88.776</v>
      </c>
      <c r="F14" s="62"/>
      <c r="I14" s="80"/>
    </row>
    <row r="15" s="23" customFormat="1" customHeight="1" spans="1:9">
      <c r="A15" s="61">
        <v>10</v>
      </c>
      <c r="B15" s="56" t="s">
        <v>102</v>
      </c>
      <c r="C15" s="57" t="s">
        <v>94</v>
      </c>
      <c r="D15" s="58" t="s">
        <v>103</v>
      </c>
      <c r="E15" s="59">
        <f ca="1" t="shared" si="0"/>
        <v>23.81376</v>
      </c>
      <c r="F15" s="62"/>
      <c r="I15" s="78"/>
    </row>
    <row r="16" s="23" customFormat="1" customHeight="1" spans="1:9">
      <c r="A16" s="61">
        <v>11</v>
      </c>
      <c r="B16" s="56" t="s">
        <v>104</v>
      </c>
      <c r="C16" s="57" t="s">
        <v>105</v>
      </c>
      <c r="D16" s="58">
        <v>1</v>
      </c>
      <c r="E16" s="59">
        <f ca="1" t="shared" si="0"/>
        <v>1</v>
      </c>
      <c r="F16" s="62"/>
      <c r="I16" s="78"/>
    </row>
    <row r="17" s="23" customFormat="1" customHeight="1" spans="1:9">
      <c r="A17" s="61">
        <v>12</v>
      </c>
      <c r="B17" s="56" t="s">
        <v>106</v>
      </c>
      <c r="C17" s="57" t="s">
        <v>94</v>
      </c>
      <c r="D17" s="58">
        <v>0</v>
      </c>
      <c r="E17" s="59">
        <f ca="1" t="shared" si="0"/>
        <v>0</v>
      </c>
      <c r="F17" s="64"/>
      <c r="I17" s="80"/>
    </row>
    <row r="18" s="23" customFormat="1" customHeight="1" spans="1:9">
      <c r="A18" s="49" t="s">
        <v>107</v>
      </c>
      <c r="B18" s="50" t="s">
        <v>108</v>
      </c>
      <c r="C18" s="51" t="s">
        <v>0</v>
      </c>
      <c r="D18" s="65"/>
      <c r="E18" s="66"/>
      <c r="F18" s="67"/>
      <c r="I18" s="80"/>
    </row>
    <row r="19" s="23" customFormat="1" customHeight="1" spans="1:9">
      <c r="A19" s="55">
        <v>1</v>
      </c>
      <c r="B19" s="56" t="s">
        <v>80</v>
      </c>
      <c r="C19" s="57" t="s">
        <v>81</v>
      </c>
      <c r="D19" s="58" t="s">
        <v>109</v>
      </c>
      <c r="E19" s="59">
        <f ca="1" t="shared" si="0"/>
        <v>341.828</v>
      </c>
      <c r="F19" s="68" t="s">
        <v>110</v>
      </c>
      <c r="I19" s="78"/>
    </row>
    <row r="20" s="23" customFormat="1" customHeight="1" spans="1:9">
      <c r="A20" s="61">
        <v>2</v>
      </c>
      <c r="B20" s="56" t="s">
        <v>83</v>
      </c>
      <c r="C20" s="57" t="s">
        <v>81</v>
      </c>
      <c r="D20" s="58" t="s">
        <v>111</v>
      </c>
      <c r="E20" s="59">
        <f ca="1" t="shared" si="0"/>
        <v>342.992</v>
      </c>
      <c r="F20" s="69"/>
      <c r="I20" s="78"/>
    </row>
    <row r="21" s="23" customFormat="1" customHeight="1" spans="1:10">
      <c r="A21" s="61">
        <v>3</v>
      </c>
      <c r="B21" s="56" t="s">
        <v>112</v>
      </c>
      <c r="C21" s="57" t="s">
        <v>81</v>
      </c>
      <c r="D21" s="58" t="s">
        <v>113</v>
      </c>
      <c r="E21" s="59">
        <f ca="1" t="shared" si="0"/>
        <v>5.999625</v>
      </c>
      <c r="F21" s="62"/>
      <c r="H21" s="23">
        <f>19-7.59-0.12</f>
        <v>11.29</v>
      </c>
      <c r="I21" s="23">
        <f>19-0.24</f>
        <v>18.76</v>
      </c>
      <c r="J21" s="23">
        <f>13.87-4.1-0.12</f>
        <v>9.65</v>
      </c>
    </row>
    <row r="22" s="23" customFormat="1" ht="30" customHeight="1" spans="1:6">
      <c r="A22" s="61">
        <v>4</v>
      </c>
      <c r="B22" s="56" t="s">
        <v>114</v>
      </c>
      <c r="C22" s="57" t="s">
        <v>81</v>
      </c>
      <c r="D22" s="58" t="s">
        <v>115</v>
      </c>
      <c r="E22" s="59">
        <f ca="1" t="shared" si="0"/>
        <v>81.3944072</v>
      </c>
      <c r="F22" s="70"/>
    </row>
    <row r="23" s="23" customFormat="1" ht="30" customHeight="1" spans="1:6">
      <c r="A23" s="61">
        <v>5</v>
      </c>
      <c r="B23" s="56" t="s">
        <v>91</v>
      </c>
      <c r="C23" s="57" t="s">
        <v>81</v>
      </c>
      <c r="D23" s="58" t="s">
        <v>116</v>
      </c>
      <c r="E23" s="59">
        <f ca="1" t="shared" si="0"/>
        <v>25.88252</v>
      </c>
      <c r="F23" s="64"/>
    </row>
    <row r="24" s="23" customFormat="1" ht="30" customHeight="1" spans="1:8">
      <c r="A24" s="61">
        <v>6</v>
      </c>
      <c r="B24" s="56" t="s">
        <v>96</v>
      </c>
      <c r="C24" s="57" t="s">
        <v>97</v>
      </c>
      <c r="D24" s="58" t="s">
        <v>117</v>
      </c>
      <c r="E24" s="59">
        <f ca="1" t="shared" si="0"/>
        <v>999.1966</v>
      </c>
      <c r="F24" s="62"/>
      <c r="H24" s="23">
        <f>(11.29+13.63+18.76+9.65)/0.2</f>
        <v>266.65</v>
      </c>
    </row>
    <row r="25" s="23" customFormat="1" ht="40" customHeight="1" spans="1:10">
      <c r="A25" s="61">
        <v>7</v>
      </c>
      <c r="B25" s="56" t="s">
        <v>102</v>
      </c>
      <c r="C25" s="57" t="s">
        <v>94</v>
      </c>
      <c r="D25" s="58" t="s">
        <v>118</v>
      </c>
      <c r="E25" s="59">
        <f ca="1" t="shared" si="0"/>
        <v>193.0602</v>
      </c>
      <c r="F25" s="62"/>
      <c r="H25" s="23">
        <f>19-7.59-0.24</f>
        <v>11.17</v>
      </c>
      <c r="I25" s="23">
        <f>13.87-0.24</f>
        <v>13.63</v>
      </c>
      <c r="J25" s="23">
        <f>(13.87-(4.1+0.5*2+2.4+0.24*3))</f>
        <v>5.65</v>
      </c>
    </row>
    <row r="26" s="23" customFormat="1" customHeight="1" spans="1:9">
      <c r="A26" s="61">
        <v>8</v>
      </c>
      <c r="B26" s="56" t="s">
        <v>119</v>
      </c>
      <c r="C26" s="57" t="s">
        <v>94</v>
      </c>
      <c r="D26" s="58" t="s">
        <v>120</v>
      </c>
      <c r="E26" s="59">
        <f ca="1" t="shared" si="0"/>
        <v>6.6</v>
      </c>
      <c r="F26" s="62"/>
      <c r="H26" s="23">
        <f>(19-0.24*13)</f>
        <v>15.88</v>
      </c>
      <c r="I26" s="23">
        <f>19-0.48</f>
        <v>18.52</v>
      </c>
    </row>
    <row r="27" s="23" customFormat="1" customHeight="1" spans="1:6">
      <c r="A27" s="61">
        <v>9</v>
      </c>
      <c r="B27" s="56" t="s">
        <v>121</v>
      </c>
      <c r="C27" s="57" t="s">
        <v>94</v>
      </c>
      <c r="D27" s="58" t="s">
        <v>122</v>
      </c>
      <c r="E27" s="59">
        <f ca="1" t="shared" si="0"/>
        <v>31.6476</v>
      </c>
      <c r="F27" s="62"/>
    </row>
    <row r="28" s="23" customFormat="1" customHeight="1" spans="1:6">
      <c r="A28" s="49" t="s">
        <v>123</v>
      </c>
      <c r="B28" s="50" t="s">
        <v>124</v>
      </c>
      <c r="C28" s="51" t="s">
        <v>0</v>
      </c>
      <c r="D28" s="71"/>
      <c r="E28" s="66"/>
      <c r="F28" s="67"/>
    </row>
    <row r="29" s="23" customFormat="1" customHeight="1" spans="1:6">
      <c r="A29" s="55">
        <v>1</v>
      </c>
      <c r="B29" s="56" t="s">
        <v>112</v>
      </c>
      <c r="C29" s="57" t="s">
        <v>81</v>
      </c>
      <c r="D29" s="58" t="s">
        <v>125</v>
      </c>
      <c r="E29" s="59">
        <f ca="1" t="shared" si="0"/>
        <v>2.9295</v>
      </c>
      <c r="F29" s="62"/>
    </row>
    <row r="30" s="23" customFormat="1" customHeight="1" spans="1:6">
      <c r="A30" s="61">
        <v>2</v>
      </c>
      <c r="B30" s="56" t="s">
        <v>114</v>
      </c>
      <c r="C30" s="57" t="s">
        <v>81</v>
      </c>
      <c r="D30" s="58" t="s">
        <v>126</v>
      </c>
      <c r="E30" s="59">
        <f ca="1" t="shared" si="0"/>
        <v>2.48332</v>
      </c>
      <c r="F30" s="62"/>
    </row>
    <row r="31" s="26" customFormat="1" customHeight="1" spans="1:6">
      <c r="A31" s="61">
        <v>3</v>
      </c>
      <c r="B31" s="56" t="s">
        <v>89</v>
      </c>
      <c r="C31" s="57" t="s">
        <v>81</v>
      </c>
      <c r="D31" s="72" t="s">
        <v>127</v>
      </c>
      <c r="E31" s="59">
        <f ca="1" t="shared" si="0"/>
        <v>3.5673</v>
      </c>
      <c r="F31" s="73"/>
    </row>
    <row r="32" s="23" customFormat="1" ht="21" customHeight="1" spans="1:6">
      <c r="A32" s="61">
        <v>4</v>
      </c>
      <c r="B32" s="56" t="s">
        <v>91</v>
      </c>
      <c r="C32" s="57" t="s">
        <v>81</v>
      </c>
      <c r="D32" s="58" t="s">
        <v>128</v>
      </c>
      <c r="E32" s="59">
        <f ca="1" t="shared" si="0"/>
        <v>16.28064</v>
      </c>
      <c r="F32" s="62"/>
    </row>
    <row r="33" s="23" customFormat="1" ht="31" customHeight="1" spans="1:6">
      <c r="A33" s="61">
        <v>5</v>
      </c>
      <c r="B33" s="56" t="s">
        <v>96</v>
      </c>
      <c r="C33" s="57" t="s">
        <v>97</v>
      </c>
      <c r="D33" s="58" t="s">
        <v>129</v>
      </c>
      <c r="E33" s="74">
        <f ca="1" t="shared" si="0"/>
        <v>1246.58674</v>
      </c>
      <c r="F33" s="62"/>
    </row>
    <row r="34" ht="31" customHeight="1" spans="1:6">
      <c r="A34" s="61">
        <v>6</v>
      </c>
      <c r="B34" s="56" t="s">
        <v>102</v>
      </c>
      <c r="C34" s="57" t="s">
        <v>94</v>
      </c>
      <c r="D34" s="58" t="s">
        <v>130</v>
      </c>
      <c r="E34" s="59">
        <f ca="1" t="shared" si="0"/>
        <v>40.5562</v>
      </c>
      <c r="F34" s="62"/>
    </row>
    <row r="35" customHeight="1" spans="1:8">
      <c r="A35" s="61">
        <v>7</v>
      </c>
      <c r="B35" s="56" t="s">
        <v>131</v>
      </c>
      <c r="C35" s="57" t="s">
        <v>94</v>
      </c>
      <c r="D35" s="58" t="s">
        <v>132</v>
      </c>
      <c r="E35" s="59">
        <f ca="1" t="shared" si="0"/>
        <v>128.818</v>
      </c>
      <c r="F35" s="62" t="s">
        <v>133</v>
      </c>
      <c r="H35" s="23">
        <f>19-7.59</f>
        <v>11.41</v>
      </c>
    </row>
    <row r="36" customHeight="1" spans="1:6">
      <c r="A36" s="61">
        <v>8</v>
      </c>
      <c r="B36" s="56" t="s">
        <v>134</v>
      </c>
      <c r="C36" s="57" t="s">
        <v>94</v>
      </c>
      <c r="D36" s="58" t="s">
        <v>135</v>
      </c>
      <c r="E36" s="59">
        <f ca="1" t="shared" si="0"/>
        <v>3.9</v>
      </c>
      <c r="F36" s="62"/>
    </row>
    <row r="37" customHeight="1" spans="1:6">
      <c r="A37" s="61">
        <v>9</v>
      </c>
      <c r="B37" s="56" t="s">
        <v>136</v>
      </c>
      <c r="C37" s="57" t="s">
        <v>137</v>
      </c>
      <c r="D37" s="58">
        <v>2</v>
      </c>
      <c r="E37" s="59">
        <f ca="1" t="shared" si="0"/>
        <v>2</v>
      </c>
      <c r="F37" s="62"/>
    </row>
    <row r="38" customHeight="1" spans="1:6">
      <c r="A38" s="49" t="s">
        <v>138</v>
      </c>
      <c r="B38" s="50" t="s">
        <v>139</v>
      </c>
      <c r="C38" s="51" t="s">
        <v>0</v>
      </c>
      <c r="D38" s="65"/>
      <c r="E38" s="66"/>
      <c r="F38" s="67"/>
    </row>
    <row r="39" customHeight="1" spans="1:6">
      <c r="A39" s="55">
        <v>1</v>
      </c>
      <c r="B39" s="56" t="s">
        <v>83</v>
      </c>
      <c r="C39" s="57" t="s">
        <v>81</v>
      </c>
      <c r="D39" s="58" t="s">
        <v>140</v>
      </c>
      <c r="E39" s="59">
        <f ca="1" t="shared" ref="E39:E79" si="1">EVALUATE(D39)</f>
        <v>12.5345</v>
      </c>
      <c r="F39" s="62"/>
    </row>
    <row r="40" customHeight="1" spans="1:6">
      <c r="A40" s="61">
        <v>2</v>
      </c>
      <c r="B40" s="56" t="s">
        <v>141</v>
      </c>
      <c r="C40" s="57" t="s">
        <v>81</v>
      </c>
      <c r="D40" s="58" t="s">
        <v>142</v>
      </c>
      <c r="E40" s="59">
        <f ca="1" t="shared" si="1"/>
        <v>6.266</v>
      </c>
      <c r="F40" s="62"/>
    </row>
    <row r="41" customHeight="1" spans="1:6">
      <c r="A41" s="61">
        <v>3</v>
      </c>
      <c r="B41" s="56" t="s">
        <v>143</v>
      </c>
      <c r="C41" s="57" t="s">
        <v>94</v>
      </c>
      <c r="D41" s="58" t="s">
        <v>144</v>
      </c>
      <c r="E41" s="59">
        <f ca="1" t="shared" si="1"/>
        <v>9.63</v>
      </c>
      <c r="F41" s="62"/>
    </row>
    <row r="42" customHeight="1" spans="1:6">
      <c r="A42" s="49" t="s">
        <v>145</v>
      </c>
      <c r="B42" s="50" t="s">
        <v>146</v>
      </c>
      <c r="C42" s="51" t="s">
        <v>0</v>
      </c>
      <c r="D42" s="65"/>
      <c r="E42" s="66"/>
      <c r="F42" s="67"/>
    </row>
    <row r="43" customHeight="1" spans="1:6">
      <c r="A43" s="55">
        <v>1</v>
      </c>
      <c r="B43" s="56" t="s">
        <v>80</v>
      </c>
      <c r="C43" s="57" t="s">
        <v>81</v>
      </c>
      <c r="D43" s="58" t="s">
        <v>147</v>
      </c>
      <c r="E43" s="59">
        <f ca="1" t="shared" si="1"/>
        <v>33.8492</v>
      </c>
      <c r="F43" s="62"/>
    </row>
    <row r="44" customHeight="1" spans="1:6">
      <c r="A44" s="61">
        <v>2</v>
      </c>
      <c r="B44" s="56" t="s">
        <v>83</v>
      </c>
      <c r="C44" s="57" t="s">
        <v>81</v>
      </c>
      <c r="D44" s="58" t="s">
        <v>148</v>
      </c>
      <c r="E44" s="59">
        <f ca="1" t="shared" si="1"/>
        <v>5.07738</v>
      </c>
      <c r="F44" s="62"/>
    </row>
    <row r="45" customHeight="1" spans="1:6">
      <c r="A45" s="61">
        <v>3</v>
      </c>
      <c r="B45" s="56" t="s">
        <v>149</v>
      </c>
      <c r="C45" s="57" t="s">
        <v>81</v>
      </c>
      <c r="D45" s="58" t="s">
        <v>150</v>
      </c>
      <c r="E45" s="59">
        <f ca="1" t="shared" si="1"/>
        <v>38.92658</v>
      </c>
      <c r="F45" s="62"/>
    </row>
    <row r="46" customHeight="1" spans="1:6">
      <c r="A46" s="75">
        <v>4</v>
      </c>
      <c r="B46" s="56" t="s">
        <v>96</v>
      </c>
      <c r="C46" s="57" t="s">
        <v>97</v>
      </c>
      <c r="D46" s="58" t="s">
        <v>151</v>
      </c>
      <c r="E46" s="59">
        <f ca="1" t="shared" si="1"/>
        <v>1611.560258</v>
      </c>
      <c r="F46" s="62"/>
    </row>
    <row r="47" customHeight="1" spans="1:6">
      <c r="A47" s="49" t="s">
        <v>152</v>
      </c>
      <c r="B47" s="50" t="s">
        <v>153</v>
      </c>
      <c r="C47" s="76"/>
      <c r="D47" s="65"/>
      <c r="E47" s="66"/>
      <c r="F47" s="67"/>
    </row>
    <row r="48" ht="27" customHeight="1" spans="1:6">
      <c r="A48" s="55">
        <v>1</v>
      </c>
      <c r="B48" s="56" t="s">
        <v>80</v>
      </c>
      <c r="C48" s="57" t="s">
        <v>81</v>
      </c>
      <c r="D48" s="58" t="s">
        <v>154</v>
      </c>
      <c r="E48" s="59">
        <f ca="1" t="shared" si="1"/>
        <v>886.2</v>
      </c>
      <c r="F48" s="62"/>
    </row>
    <row r="49" ht="30" customHeight="1" spans="1:6">
      <c r="A49" s="61">
        <v>2</v>
      </c>
      <c r="B49" s="56" t="s">
        <v>83</v>
      </c>
      <c r="C49" s="57" t="s">
        <v>81</v>
      </c>
      <c r="D49" s="58" t="s">
        <v>155</v>
      </c>
      <c r="E49" s="59">
        <f ca="1" t="shared" si="1"/>
        <v>258.3</v>
      </c>
      <c r="F49" s="62"/>
    </row>
    <row r="50" customHeight="1" spans="1:6">
      <c r="A50" s="49" t="s">
        <v>156</v>
      </c>
      <c r="B50" s="50" t="s">
        <v>157</v>
      </c>
      <c r="C50" s="76"/>
      <c r="D50" s="65"/>
      <c r="E50" s="66"/>
      <c r="F50" s="67"/>
    </row>
    <row r="51" ht="24" spans="1:6">
      <c r="A51" s="55">
        <v>1</v>
      </c>
      <c r="B51" s="56" t="s">
        <v>80</v>
      </c>
      <c r="C51" s="57" t="s">
        <v>81</v>
      </c>
      <c r="D51" s="58" t="s">
        <v>158</v>
      </c>
      <c r="E51" s="59">
        <f ca="1" t="shared" si="1"/>
        <v>2068</v>
      </c>
      <c r="F51" s="62"/>
    </row>
    <row r="52" ht="36" spans="1:6">
      <c r="A52" s="61">
        <v>2</v>
      </c>
      <c r="B52" s="56" t="s">
        <v>85</v>
      </c>
      <c r="C52" s="57" t="s">
        <v>81</v>
      </c>
      <c r="D52" s="58" t="s">
        <v>159</v>
      </c>
      <c r="E52" s="59">
        <f ca="1" t="shared" si="1"/>
        <v>2044.893368</v>
      </c>
      <c r="F52" s="62"/>
    </row>
    <row r="53" customHeight="1" spans="1:6">
      <c r="A53" s="49" t="s">
        <v>160</v>
      </c>
      <c r="B53" s="50" t="s">
        <v>161</v>
      </c>
      <c r="C53" s="51"/>
      <c r="D53" s="65"/>
      <c r="E53" s="66"/>
      <c r="F53" s="67"/>
    </row>
    <row r="54" customHeight="1" spans="1:8">
      <c r="A54" s="61">
        <v>1</v>
      </c>
      <c r="B54" s="56" t="s">
        <v>162</v>
      </c>
      <c r="C54" s="57" t="s">
        <v>81</v>
      </c>
      <c r="D54" s="77" t="s">
        <v>163</v>
      </c>
      <c r="E54" s="59">
        <f ca="1" t="shared" si="1"/>
        <v>22.337312</v>
      </c>
      <c r="F54" s="62"/>
      <c r="H54" s="21">
        <f>(0.2+0.23)/2</f>
        <v>0.215</v>
      </c>
    </row>
    <row r="55" customHeight="1" spans="1:6">
      <c r="A55" s="61">
        <v>2</v>
      </c>
      <c r="B55" s="56" t="s">
        <v>164</v>
      </c>
      <c r="C55" s="57" t="s">
        <v>81</v>
      </c>
      <c r="D55" s="77" t="s">
        <v>165</v>
      </c>
      <c r="E55" s="59">
        <f ca="1" t="shared" si="1"/>
        <v>39.6671</v>
      </c>
      <c r="F55" s="62"/>
    </row>
    <row r="56" ht="24" spans="1:6">
      <c r="A56" s="61">
        <v>3</v>
      </c>
      <c r="B56" s="56" t="s">
        <v>166</v>
      </c>
      <c r="C56" s="57" t="s">
        <v>81</v>
      </c>
      <c r="D56" s="77" t="s">
        <v>167</v>
      </c>
      <c r="E56" s="59">
        <f ca="1" t="shared" si="1"/>
        <v>11.211886</v>
      </c>
      <c r="F56" s="62"/>
    </row>
    <row r="57" customHeight="1" spans="1:8">
      <c r="A57" s="61">
        <v>4</v>
      </c>
      <c r="B57" s="56" t="s">
        <v>168</v>
      </c>
      <c r="C57" s="57" t="s">
        <v>81</v>
      </c>
      <c r="D57" s="58" t="s">
        <v>169</v>
      </c>
      <c r="E57" s="59">
        <f ca="1" t="shared" si="1"/>
        <v>53.8756</v>
      </c>
      <c r="F57" s="62"/>
      <c r="H57" s="21">
        <f>(1.6+1.5+1.3+1.3+1.4)/5</f>
        <v>1.42</v>
      </c>
    </row>
    <row r="58" customHeight="1" spans="1:6">
      <c r="A58" s="61">
        <v>5</v>
      </c>
      <c r="B58" s="56" t="s">
        <v>170</v>
      </c>
      <c r="C58" s="57" t="s">
        <v>94</v>
      </c>
      <c r="D58" s="58" t="s">
        <v>171</v>
      </c>
      <c r="E58" s="59">
        <f ca="1" t="shared" si="1"/>
        <v>73.396</v>
      </c>
      <c r="F58" s="62"/>
    </row>
    <row r="59" customHeight="1" spans="1:8">
      <c r="A59" s="61">
        <v>6</v>
      </c>
      <c r="B59" s="56" t="s">
        <v>172</v>
      </c>
      <c r="C59" s="57" t="s">
        <v>81</v>
      </c>
      <c r="D59" s="58" t="s">
        <v>173</v>
      </c>
      <c r="E59" s="59">
        <f ca="1" t="shared" si="1"/>
        <v>1.45322128060208</v>
      </c>
      <c r="F59" s="62"/>
      <c r="H59" s="21">
        <f>0.3*22</f>
        <v>6.6</v>
      </c>
    </row>
    <row r="60" customHeight="1" spans="1:8">
      <c r="A60" s="61">
        <v>7</v>
      </c>
      <c r="B60" s="56" t="s">
        <v>174</v>
      </c>
      <c r="C60" s="57" t="s">
        <v>94</v>
      </c>
      <c r="D60" s="58" t="s">
        <v>175</v>
      </c>
      <c r="E60" s="59">
        <f ca="1" t="shared" si="1"/>
        <v>4.4</v>
      </c>
      <c r="F60" s="62"/>
      <c r="H60" s="21">
        <f>0.2*22</f>
        <v>4.4</v>
      </c>
    </row>
    <row r="61" customHeight="1" spans="1:6">
      <c r="A61" s="49" t="s">
        <v>176</v>
      </c>
      <c r="B61" s="50" t="s">
        <v>177</v>
      </c>
      <c r="C61" s="51"/>
      <c r="D61" s="65"/>
      <c r="E61" s="66"/>
      <c r="F61" s="67"/>
    </row>
    <row r="62" customHeight="1" spans="1:6">
      <c r="A62" s="61">
        <v>1</v>
      </c>
      <c r="B62" s="56" t="s">
        <v>178</v>
      </c>
      <c r="C62" s="57" t="s">
        <v>179</v>
      </c>
      <c r="D62" s="58" t="s">
        <v>180</v>
      </c>
      <c r="E62" s="59">
        <f ca="1" t="shared" ref="E62:E65" si="2">EVALUATE(D62)</f>
        <v>0.04027776</v>
      </c>
      <c r="F62" s="62"/>
    </row>
    <row r="63" customHeight="1" spans="1:6">
      <c r="A63" s="61">
        <v>2</v>
      </c>
      <c r="B63" s="56" t="s">
        <v>181</v>
      </c>
      <c r="C63" s="57" t="s">
        <v>81</v>
      </c>
      <c r="D63" s="58" t="s">
        <v>182</v>
      </c>
      <c r="E63" s="59">
        <f ca="1" t="shared" si="2"/>
        <v>7.6</v>
      </c>
      <c r="F63" s="62"/>
    </row>
    <row r="64" customHeight="1" spans="1:6">
      <c r="A64" s="61">
        <v>3</v>
      </c>
      <c r="B64" s="56" t="s">
        <v>143</v>
      </c>
      <c r="C64" s="57" t="s">
        <v>94</v>
      </c>
      <c r="D64" s="29" t="s">
        <v>183</v>
      </c>
      <c r="E64" s="59">
        <f ca="1" t="shared" si="2"/>
        <v>15.2</v>
      </c>
      <c r="F64" s="62"/>
    </row>
    <row r="65" customHeight="1" spans="1:6">
      <c r="A65" s="61">
        <v>4</v>
      </c>
      <c r="B65" s="56" t="s">
        <v>184</v>
      </c>
      <c r="C65" s="57" t="s">
        <v>185</v>
      </c>
      <c r="D65" s="58" t="s">
        <v>186</v>
      </c>
      <c r="E65" s="59">
        <f ca="1" t="shared" si="2"/>
        <v>60</v>
      </c>
      <c r="F65" s="62"/>
    </row>
    <row r="66" customHeight="1" spans="1:6">
      <c r="A66" s="81"/>
      <c r="B66" s="44" t="s">
        <v>187</v>
      </c>
      <c r="C66" s="45"/>
      <c r="D66" s="82"/>
      <c r="E66" s="83"/>
      <c r="F66" s="84"/>
    </row>
    <row r="67" customHeight="1" spans="1:6">
      <c r="A67" s="49" t="s">
        <v>77</v>
      </c>
      <c r="B67" s="50" t="s">
        <v>188</v>
      </c>
      <c r="C67" s="51"/>
      <c r="D67" s="65"/>
      <c r="E67" s="66"/>
      <c r="F67" s="67"/>
    </row>
    <row r="68" customHeight="1" spans="1:6">
      <c r="A68" s="61">
        <v>1</v>
      </c>
      <c r="B68" s="56" t="s">
        <v>189</v>
      </c>
      <c r="C68" s="57" t="s">
        <v>190</v>
      </c>
      <c r="D68" s="58">
        <v>40</v>
      </c>
      <c r="E68" s="59">
        <f ca="1" t="shared" ref="E68:E74" si="3">EVALUATE(D68)</f>
        <v>40</v>
      </c>
      <c r="F68" s="62"/>
    </row>
    <row r="69" customHeight="1" spans="1:6">
      <c r="A69" s="61">
        <v>2</v>
      </c>
      <c r="B69" s="56" t="s">
        <v>191</v>
      </c>
      <c r="C69" s="57" t="s">
        <v>190</v>
      </c>
      <c r="D69" s="58">
        <v>80</v>
      </c>
      <c r="E69" s="59">
        <f ca="1" t="shared" si="3"/>
        <v>80</v>
      </c>
      <c r="F69" s="62"/>
    </row>
    <row r="70" customHeight="1" spans="1:6">
      <c r="A70" s="61">
        <v>3</v>
      </c>
      <c r="B70" s="56" t="s">
        <v>192</v>
      </c>
      <c r="C70" s="57" t="s">
        <v>190</v>
      </c>
      <c r="D70" s="58">
        <v>190</v>
      </c>
      <c r="E70" s="59">
        <f ca="1" t="shared" si="3"/>
        <v>190</v>
      </c>
      <c r="F70" s="62"/>
    </row>
    <row r="71" customHeight="1" spans="1:6">
      <c r="A71" s="61">
        <v>4</v>
      </c>
      <c r="B71" s="56" t="s">
        <v>193</v>
      </c>
      <c r="C71" s="57" t="s">
        <v>105</v>
      </c>
      <c r="D71" s="58">
        <v>4</v>
      </c>
      <c r="E71" s="59">
        <f ca="1" t="shared" si="3"/>
        <v>4</v>
      </c>
      <c r="F71" s="85" t="s">
        <v>194</v>
      </c>
    </row>
    <row r="72" customHeight="1" spans="1:6">
      <c r="A72" s="61">
        <v>5</v>
      </c>
      <c r="B72" s="56" t="s">
        <v>195</v>
      </c>
      <c r="C72" s="57" t="s">
        <v>196</v>
      </c>
      <c r="D72" s="58">
        <v>1</v>
      </c>
      <c r="E72" s="59">
        <f ca="1" t="shared" si="3"/>
        <v>1</v>
      </c>
      <c r="F72" s="62"/>
    </row>
    <row r="73" customHeight="1" spans="1:6">
      <c r="A73" s="61">
        <v>6</v>
      </c>
      <c r="B73" s="56" t="s">
        <v>197</v>
      </c>
      <c r="C73" s="57" t="s">
        <v>196</v>
      </c>
      <c r="D73" s="58">
        <v>1</v>
      </c>
      <c r="E73" s="59">
        <f ca="1" t="shared" si="3"/>
        <v>1</v>
      </c>
      <c r="F73" s="62"/>
    </row>
    <row r="74" customHeight="1" spans="1:6">
      <c r="A74" s="61">
        <v>7</v>
      </c>
      <c r="B74" s="56" t="s">
        <v>198</v>
      </c>
      <c r="C74" s="57" t="s">
        <v>196</v>
      </c>
      <c r="D74" s="58">
        <v>3</v>
      </c>
      <c r="E74" s="59">
        <f ca="1" t="shared" si="3"/>
        <v>3</v>
      </c>
      <c r="F74" s="62"/>
    </row>
    <row r="75" customHeight="1" spans="1:6">
      <c r="A75" s="49" t="s">
        <v>107</v>
      </c>
      <c r="B75" s="50" t="s">
        <v>199</v>
      </c>
      <c r="C75" s="51"/>
      <c r="D75" s="65"/>
      <c r="E75" s="66"/>
      <c r="F75" s="67"/>
    </row>
    <row r="76" customHeight="1" spans="1:6">
      <c r="A76" s="61">
        <v>1</v>
      </c>
      <c r="B76" s="56" t="s">
        <v>200</v>
      </c>
      <c r="C76" s="57" t="s">
        <v>190</v>
      </c>
      <c r="D76" s="58">
        <v>0</v>
      </c>
      <c r="E76" s="59">
        <f ca="1" t="shared" ref="E76:E84" si="4">EVALUATE(D76)</f>
        <v>0</v>
      </c>
      <c r="F76" s="62"/>
    </row>
    <row r="77" customHeight="1" spans="1:6">
      <c r="A77" s="61">
        <v>2</v>
      </c>
      <c r="B77" s="56" t="s">
        <v>201</v>
      </c>
      <c r="C77" s="57" t="s">
        <v>190</v>
      </c>
      <c r="D77" s="58">
        <v>0</v>
      </c>
      <c r="E77" s="59">
        <f ca="1" t="shared" si="4"/>
        <v>0</v>
      </c>
      <c r="F77" s="62"/>
    </row>
    <row r="78" customHeight="1" spans="1:6">
      <c r="A78" s="61">
        <v>3</v>
      </c>
      <c r="B78" s="56" t="s">
        <v>202</v>
      </c>
      <c r="C78" s="57" t="s">
        <v>190</v>
      </c>
      <c r="D78" s="58">
        <v>0</v>
      </c>
      <c r="E78" s="59">
        <f ca="1" t="shared" si="4"/>
        <v>0</v>
      </c>
      <c r="F78" s="62"/>
    </row>
    <row r="79" customHeight="1" spans="1:6">
      <c r="A79" s="61">
        <v>4</v>
      </c>
      <c r="B79" s="56" t="s">
        <v>203</v>
      </c>
      <c r="C79" s="57" t="s">
        <v>190</v>
      </c>
      <c r="D79" s="58" t="s">
        <v>204</v>
      </c>
      <c r="E79" s="59">
        <f ca="1" t="shared" si="4"/>
        <v>4500</v>
      </c>
      <c r="F79" s="62"/>
    </row>
    <row r="80" customHeight="1" spans="1:6">
      <c r="A80" s="61">
        <v>5</v>
      </c>
      <c r="B80" s="56" t="s">
        <v>205</v>
      </c>
      <c r="C80" s="57" t="s">
        <v>190</v>
      </c>
      <c r="D80" s="58" t="s">
        <v>206</v>
      </c>
      <c r="E80" s="59">
        <f ca="1" t="shared" si="4"/>
        <v>1200</v>
      </c>
      <c r="F80" s="62"/>
    </row>
    <row r="81" customHeight="1" spans="1:6">
      <c r="A81" s="61">
        <v>6</v>
      </c>
      <c r="B81" s="56" t="s">
        <v>207</v>
      </c>
      <c r="C81" s="57" t="s">
        <v>190</v>
      </c>
      <c r="D81" s="58">
        <v>2000</v>
      </c>
      <c r="E81" s="59">
        <f ca="1" t="shared" si="4"/>
        <v>2000</v>
      </c>
      <c r="F81" s="62"/>
    </row>
    <row r="82" customHeight="1" spans="1:6">
      <c r="A82" s="61">
        <v>7</v>
      </c>
      <c r="B82" s="56" t="s">
        <v>208</v>
      </c>
      <c r="C82" s="86" t="s">
        <v>190</v>
      </c>
      <c r="D82" s="58" t="s">
        <v>209</v>
      </c>
      <c r="E82" s="59">
        <f ca="1" t="shared" si="4"/>
        <v>3800</v>
      </c>
      <c r="F82" s="62"/>
    </row>
    <row r="83" customHeight="1" spans="1:6">
      <c r="A83" s="61">
        <v>8</v>
      </c>
      <c r="B83" s="56" t="s">
        <v>210</v>
      </c>
      <c r="C83" s="86" t="s">
        <v>190</v>
      </c>
      <c r="D83" s="58" t="s">
        <v>211</v>
      </c>
      <c r="E83" s="59">
        <f ca="1" t="shared" si="4"/>
        <v>6000</v>
      </c>
      <c r="F83" s="62"/>
    </row>
    <row r="84" customHeight="1" spans="1:6">
      <c r="A84" s="61">
        <v>9</v>
      </c>
      <c r="B84" s="56" t="s">
        <v>212</v>
      </c>
      <c r="C84" s="86" t="s">
        <v>190</v>
      </c>
      <c r="D84" s="58" t="s">
        <v>213</v>
      </c>
      <c r="E84" s="59">
        <f ca="1" t="shared" si="4"/>
        <v>13000</v>
      </c>
      <c r="F84" s="62"/>
    </row>
    <row r="85" customHeight="1" spans="1:6">
      <c r="A85" s="49" t="s">
        <v>123</v>
      </c>
      <c r="B85" s="50" t="s">
        <v>214</v>
      </c>
      <c r="C85" s="51"/>
      <c r="D85" s="65"/>
      <c r="E85" s="66"/>
      <c r="F85" s="67"/>
    </row>
    <row r="86" customHeight="1" spans="1:6">
      <c r="A86" s="61">
        <v>1</v>
      </c>
      <c r="B86" s="56" t="s">
        <v>200</v>
      </c>
      <c r="C86" s="57" t="s">
        <v>190</v>
      </c>
      <c r="D86" s="77">
        <v>2000</v>
      </c>
      <c r="E86" s="59">
        <f ca="1" t="shared" ref="E85:E101" si="5">EVALUATE(D86)</f>
        <v>2000</v>
      </c>
      <c r="F86" s="68" t="s">
        <v>39</v>
      </c>
    </row>
    <row r="87" customHeight="1" spans="1:6">
      <c r="A87" s="61">
        <v>2</v>
      </c>
      <c r="B87" s="56" t="s">
        <v>201</v>
      </c>
      <c r="C87" s="57" t="s">
        <v>190</v>
      </c>
      <c r="D87" s="77">
        <v>3500</v>
      </c>
      <c r="E87" s="59">
        <f ca="1" t="shared" si="5"/>
        <v>3500</v>
      </c>
      <c r="F87" s="87"/>
    </row>
    <row r="88" customHeight="1" spans="1:6">
      <c r="A88" s="61">
        <v>3</v>
      </c>
      <c r="B88" s="56" t="s">
        <v>202</v>
      </c>
      <c r="C88" s="57" t="s">
        <v>190</v>
      </c>
      <c r="D88" s="77" t="s">
        <v>215</v>
      </c>
      <c r="E88" s="59">
        <f ca="1" t="shared" si="5"/>
        <v>8000</v>
      </c>
      <c r="F88" s="87"/>
    </row>
    <row r="89" customHeight="1" spans="1:6">
      <c r="A89" s="61">
        <v>4</v>
      </c>
      <c r="B89" s="56" t="s">
        <v>203</v>
      </c>
      <c r="C89" s="57" t="s">
        <v>190</v>
      </c>
      <c r="D89" s="58" t="s">
        <v>216</v>
      </c>
      <c r="E89" s="59">
        <f ca="1" t="shared" si="5"/>
        <v>4500</v>
      </c>
      <c r="F89" s="87"/>
    </row>
    <row r="90" customHeight="1" spans="1:6">
      <c r="A90" s="61">
        <v>5</v>
      </c>
      <c r="B90" s="56" t="s">
        <v>205</v>
      </c>
      <c r="C90" s="57" t="s">
        <v>190</v>
      </c>
      <c r="D90" s="58" t="s">
        <v>217</v>
      </c>
      <c r="E90" s="59">
        <f ca="1" t="shared" si="5"/>
        <v>1200</v>
      </c>
      <c r="F90" s="87"/>
    </row>
    <row r="91" customHeight="1" spans="1:6">
      <c r="A91" s="61">
        <v>6</v>
      </c>
      <c r="B91" s="56" t="s">
        <v>207</v>
      </c>
      <c r="C91" s="57" t="s">
        <v>190</v>
      </c>
      <c r="D91" s="58">
        <v>2000</v>
      </c>
      <c r="E91" s="59">
        <f ca="1" t="shared" si="5"/>
        <v>2000</v>
      </c>
      <c r="F91" s="87"/>
    </row>
    <row r="92" customHeight="1" spans="1:6">
      <c r="A92" s="61">
        <v>7</v>
      </c>
      <c r="B92" s="56" t="s">
        <v>208</v>
      </c>
      <c r="C92" s="86" t="s">
        <v>190</v>
      </c>
      <c r="D92" s="58" t="s">
        <v>218</v>
      </c>
      <c r="E92" s="59">
        <f ca="1" t="shared" si="5"/>
        <v>3800</v>
      </c>
      <c r="F92" s="87"/>
    </row>
    <row r="93" customHeight="1" spans="1:6">
      <c r="A93" s="61">
        <v>8</v>
      </c>
      <c r="B93" s="56" t="s">
        <v>210</v>
      </c>
      <c r="C93" s="86" t="s">
        <v>190</v>
      </c>
      <c r="D93" s="58" t="s">
        <v>219</v>
      </c>
      <c r="E93" s="59">
        <f ca="1" t="shared" si="5"/>
        <v>6000</v>
      </c>
      <c r="F93" s="87"/>
    </row>
    <row r="94" customHeight="1" spans="1:6">
      <c r="A94" s="61">
        <v>9</v>
      </c>
      <c r="B94" s="56" t="s">
        <v>212</v>
      </c>
      <c r="C94" s="86" t="s">
        <v>190</v>
      </c>
      <c r="D94" s="58" t="s">
        <v>220</v>
      </c>
      <c r="E94" s="59">
        <f ca="1" t="shared" si="5"/>
        <v>13000</v>
      </c>
      <c r="F94" s="87"/>
    </row>
    <row r="95" ht="28" customHeight="1" spans="1:6">
      <c r="A95" s="88">
        <v>10</v>
      </c>
      <c r="B95" s="89" t="s">
        <v>221</v>
      </c>
      <c r="C95" s="90" t="s">
        <v>35</v>
      </c>
      <c r="D95" s="58" t="s">
        <v>222</v>
      </c>
      <c r="E95" s="59">
        <f ca="1" t="shared" si="5"/>
        <v>5724.57999999999</v>
      </c>
      <c r="F95" s="69"/>
    </row>
    <row r="98" customHeight="1" spans="2:2">
      <c r="B98" s="91"/>
    </row>
    <row r="99" customHeight="1" spans="2:2">
      <c r="B99" s="91"/>
    </row>
    <row r="100" customHeight="1" spans="2:2">
      <c r="B100" s="91"/>
    </row>
    <row r="101" customHeight="1" spans="2:2">
      <c r="B101" s="91"/>
    </row>
    <row r="102" customHeight="1" spans="2:2">
      <c r="B102" s="91"/>
    </row>
    <row r="103" customHeight="1" spans="2:2">
      <c r="B103" s="91"/>
    </row>
  </sheetData>
  <mergeCells count="4">
    <mergeCell ref="A1:F1"/>
    <mergeCell ref="A2:F2"/>
    <mergeCell ref="F19:F20"/>
    <mergeCell ref="F86:F95"/>
  </mergeCells>
  <pageMargins left="0.550694444444444" right="0.472222222222222" top="0.432638888888889" bottom="0.629861111111111" header="0.275" footer="0.432638888888889"/>
  <pageSetup paperSize="9" scale="81" fitToHeight="0" orientation="portrait" horizontalDpi="600"/>
  <headerFooter>
    <oddFooter>&amp;L&amp;9建设单位：&amp;C&amp;9施工单位：&amp;R&amp;9第&amp;P页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opLeftCell="A7" workbookViewId="0">
      <selection activeCell="E16" sqref="E16"/>
    </sheetView>
  </sheetViews>
  <sheetFormatPr defaultColWidth="9.14166666666667" defaultRowHeight="17" customHeight="1"/>
  <cols>
    <col min="1" max="1" width="7.66666666666667" style="3" customWidth="1"/>
    <col min="2" max="2" width="18.6666666666667" style="1" customWidth="1"/>
    <col min="3" max="3" width="6.66666666666667" style="3" customWidth="1"/>
    <col min="4" max="4" width="14.4333333333333" style="1" customWidth="1"/>
    <col min="5" max="5" width="12" style="1" customWidth="1"/>
    <col min="6" max="7" width="13.55" style="1" customWidth="1"/>
    <col min="8" max="256" width="8.88333333333333" style="1"/>
    <col min="257" max="16384" width="9.14166666666667" style="1"/>
  </cols>
  <sheetData>
    <row r="1" s="1" customFormat="1" ht="37" customHeight="1" spans="1:7">
      <c r="A1" s="4" t="s">
        <v>223</v>
      </c>
      <c r="B1" s="5"/>
      <c r="C1" s="4"/>
      <c r="D1" s="6"/>
      <c r="E1" s="4"/>
      <c r="F1" s="6"/>
      <c r="G1" s="4"/>
    </row>
    <row r="2" s="1" customFormat="1" customHeight="1" spans="1:7">
      <c r="A2" s="7" t="s">
        <v>224</v>
      </c>
      <c r="B2" s="7"/>
      <c r="C2" s="7"/>
      <c r="D2" s="7"/>
      <c r="E2" s="7"/>
      <c r="F2" s="7"/>
      <c r="G2" s="7"/>
    </row>
    <row r="3" s="1" customFormat="1" ht="24" spans="1:7">
      <c r="A3" s="8" t="s">
        <v>23</v>
      </c>
      <c r="B3" s="8" t="s">
        <v>225</v>
      </c>
      <c r="C3" s="8" t="s">
        <v>25</v>
      </c>
      <c r="D3" s="8" t="s">
        <v>226</v>
      </c>
      <c r="E3" s="8" t="s">
        <v>227</v>
      </c>
      <c r="F3" s="8" t="s">
        <v>228</v>
      </c>
      <c r="G3" s="8" t="s">
        <v>49</v>
      </c>
    </row>
    <row r="4" s="1" customFormat="1" customHeight="1" spans="1:12">
      <c r="A4" s="9">
        <v>1</v>
      </c>
      <c r="B4" s="10" t="s">
        <v>229</v>
      </c>
      <c r="C4" s="11" t="s">
        <v>230</v>
      </c>
      <c r="D4" s="12">
        <v>1.35</v>
      </c>
      <c r="E4" s="13">
        <v>0.9715</v>
      </c>
      <c r="F4" s="14">
        <f t="shared" ref="F4:F24" si="0">D4/E4</f>
        <v>1.38960370560988</v>
      </c>
      <c r="G4" s="15"/>
      <c r="I4" s="1" t="s">
        <v>229</v>
      </c>
      <c r="K4" s="1" t="s">
        <v>230</v>
      </c>
      <c r="L4" s="1">
        <v>1.35</v>
      </c>
    </row>
    <row r="5" s="1" customFormat="1" customHeight="1" spans="1:12">
      <c r="A5" s="9">
        <v>2</v>
      </c>
      <c r="B5" s="10" t="s">
        <v>231</v>
      </c>
      <c r="C5" s="11" t="s">
        <v>81</v>
      </c>
      <c r="D5" s="12">
        <v>2.5</v>
      </c>
      <c r="E5" s="13">
        <v>0.9715</v>
      </c>
      <c r="F5" s="14">
        <f t="shared" si="0"/>
        <v>2.57334019557385</v>
      </c>
      <c r="G5" s="15"/>
      <c r="I5" s="1" t="s">
        <v>231</v>
      </c>
      <c r="K5" s="1" t="s">
        <v>81</v>
      </c>
      <c r="L5" s="1">
        <v>2.5</v>
      </c>
    </row>
    <row r="6" s="1" customFormat="1" customHeight="1" spans="1:12">
      <c r="A6" s="9">
        <v>3</v>
      </c>
      <c r="B6" s="10" t="s">
        <v>232</v>
      </c>
      <c r="C6" s="11" t="s">
        <v>81</v>
      </c>
      <c r="D6" s="12">
        <v>0.3</v>
      </c>
      <c r="E6" s="13">
        <v>0.9715</v>
      </c>
      <c r="F6" s="14">
        <f t="shared" si="0"/>
        <v>0.308800823468863</v>
      </c>
      <c r="G6" s="15"/>
      <c r="I6" s="1" t="s">
        <v>232</v>
      </c>
      <c r="K6" s="1" t="s">
        <v>81</v>
      </c>
      <c r="L6" s="1">
        <v>0.3</v>
      </c>
    </row>
    <row r="7" s="1" customFormat="1" customHeight="1" spans="1:13">
      <c r="A7" s="9">
        <v>4</v>
      </c>
      <c r="B7" s="10" t="s">
        <v>233</v>
      </c>
      <c r="C7" s="11" t="s">
        <v>97</v>
      </c>
      <c r="D7" s="12">
        <v>7</v>
      </c>
      <c r="E7" s="13">
        <v>0.8577</v>
      </c>
      <c r="F7" s="14">
        <f t="shared" si="0"/>
        <v>8.16136178150869</v>
      </c>
      <c r="G7" s="15"/>
      <c r="I7" s="1" t="s">
        <v>233</v>
      </c>
      <c r="K7" s="1" t="s">
        <v>97</v>
      </c>
      <c r="L7" s="1">
        <v>7</v>
      </c>
      <c r="M7" s="1">
        <v>3</v>
      </c>
    </row>
    <row r="8" s="1" customFormat="1" customHeight="1" spans="1:13">
      <c r="A8" s="9">
        <v>5</v>
      </c>
      <c r="B8" s="10" t="s">
        <v>234</v>
      </c>
      <c r="C8" s="11" t="s">
        <v>97</v>
      </c>
      <c r="D8" s="12">
        <v>9</v>
      </c>
      <c r="E8" s="13">
        <v>0.8577</v>
      </c>
      <c r="F8" s="14">
        <f t="shared" si="0"/>
        <v>10.4931794333683</v>
      </c>
      <c r="G8" s="15"/>
      <c r="I8" s="1" t="s">
        <v>234</v>
      </c>
      <c r="K8" s="1" t="s">
        <v>97</v>
      </c>
      <c r="L8" s="1">
        <v>9</v>
      </c>
      <c r="M8" s="1">
        <v>3.1</v>
      </c>
    </row>
    <row r="9" s="1" customFormat="1" customHeight="1" spans="1:13">
      <c r="A9" s="9">
        <v>6</v>
      </c>
      <c r="B9" s="10" t="s">
        <v>235</v>
      </c>
      <c r="C9" s="11" t="s">
        <v>179</v>
      </c>
      <c r="D9" s="12">
        <v>3900</v>
      </c>
      <c r="E9" s="13">
        <v>0.8577</v>
      </c>
      <c r="F9" s="14">
        <f t="shared" si="0"/>
        <v>4547.04442112627</v>
      </c>
      <c r="G9" s="15"/>
      <c r="I9" s="1" t="s">
        <v>235</v>
      </c>
      <c r="K9" s="1" t="s">
        <v>179</v>
      </c>
      <c r="L9" s="1">
        <v>3900</v>
      </c>
      <c r="M9" s="1">
        <v>2600</v>
      </c>
    </row>
    <row r="10" s="1" customFormat="1" customHeight="1" spans="1:13">
      <c r="A10" s="9">
        <v>7</v>
      </c>
      <c r="B10" s="10" t="s">
        <v>236</v>
      </c>
      <c r="C10" s="11" t="s">
        <v>97</v>
      </c>
      <c r="D10" s="12">
        <v>12</v>
      </c>
      <c r="E10" s="13">
        <v>0.8577</v>
      </c>
      <c r="F10" s="14">
        <f t="shared" si="0"/>
        <v>13.9909059111577</v>
      </c>
      <c r="G10" s="15"/>
      <c r="I10" s="1" t="s">
        <v>236</v>
      </c>
      <c r="K10" s="1" t="s">
        <v>97</v>
      </c>
      <c r="L10" s="1">
        <v>12</v>
      </c>
      <c r="M10" s="1">
        <v>5.2</v>
      </c>
    </row>
    <row r="11" s="1" customFormat="1" customHeight="1" spans="1:13">
      <c r="A11" s="9">
        <v>8</v>
      </c>
      <c r="B11" s="10" t="s">
        <v>237</v>
      </c>
      <c r="C11" s="11" t="s">
        <v>97</v>
      </c>
      <c r="D11" s="12">
        <v>0.38</v>
      </c>
      <c r="E11" s="16">
        <v>0.8577</v>
      </c>
      <c r="F11" s="17">
        <f t="shared" si="0"/>
        <v>0.443045353853329</v>
      </c>
      <c r="G11" s="15"/>
      <c r="I11" s="1" t="s">
        <v>237</v>
      </c>
      <c r="J11" s="1">
        <v>32.5</v>
      </c>
      <c r="K11" s="1" t="s">
        <v>97</v>
      </c>
      <c r="L11" s="1">
        <v>0.38</v>
      </c>
      <c r="M11" s="1">
        <v>0.26</v>
      </c>
    </row>
    <row r="12" s="1" customFormat="1" customHeight="1" spans="1:13">
      <c r="A12" s="9">
        <v>9</v>
      </c>
      <c r="B12" s="10" t="s">
        <v>238</v>
      </c>
      <c r="C12" s="11" t="s">
        <v>81</v>
      </c>
      <c r="D12" s="12">
        <v>180</v>
      </c>
      <c r="E12" s="13">
        <v>0.9715</v>
      </c>
      <c r="F12" s="14">
        <f t="shared" si="0"/>
        <v>185.280494081318</v>
      </c>
      <c r="G12" s="15"/>
      <c r="I12" s="1" t="s">
        <v>238</v>
      </c>
      <c r="J12" s="1" t="s">
        <v>239</v>
      </c>
      <c r="K12" s="1" t="s">
        <v>81</v>
      </c>
      <c r="L12" s="1">
        <v>180</v>
      </c>
      <c r="M12" s="1">
        <v>70</v>
      </c>
    </row>
    <row r="13" s="1" customFormat="1" customHeight="1" spans="1:13">
      <c r="A13" s="9">
        <v>10</v>
      </c>
      <c r="B13" s="10" t="s">
        <v>240</v>
      </c>
      <c r="C13" s="11" t="s">
        <v>81</v>
      </c>
      <c r="D13" s="12">
        <v>200</v>
      </c>
      <c r="E13" s="13">
        <v>0.9715</v>
      </c>
      <c r="F13" s="14">
        <f t="shared" si="0"/>
        <v>205.867215645908</v>
      </c>
      <c r="G13" s="15"/>
      <c r="I13" s="1" t="s">
        <v>240</v>
      </c>
      <c r="K13" s="1" t="s">
        <v>81</v>
      </c>
      <c r="L13" s="1">
        <v>200</v>
      </c>
      <c r="M13" s="1">
        <v>70</v>
      </c>
    </row>
    <row r="14" s="1" customFormat="1" customHeight="1" spans="1:12">
      <c r="A14" s="9">
        <v>11</v>
      </c>
      <c r="B14" s="10" t="s">
        <v>241</v>
      </c>
      <c r="C14" s="11" t="s">
        <v>81</v>
      </c>
      <c r="D14" s="12">
        <v>1500</v>
      </c>
      <c r="E14" s="13">
        <v>0.8577</v>
      </c>
      <c r="F14" s="14">
        <f t="shared" si="0"/>
        <v>1748.86323889472</v>
      </c>
      <c r="G14" s="15"/>
      <c r="I14" s="1" t="s">
        <v>241</v>
      </c>
      <c r="K14" s="1" t="s">
        <v>81</v>
      </c>
      <c r="L14" s="1">
        <v>1500</v>
      </c>
    </row>
    <row r="15" s="1" customFormat="1" customHeight="1" spans="1:12">
      <c r="A15" s="9">
        <v>12</v>
      </c>
      <c r="B15" s="10" t="s">
        <v>242</v>
      </c>
      <c r="C15" s="11" t="s">
        <v>243</v>
      </c>
      <c r="D15" s="12">
        <v>500</v>
      </c>
      <c r="E15" s="13">
        <v>0.9715</v>
      </c>
      <c r="F15" s="14">
        <f t="shared" si="0"/>
        <v>514.668039114771</v>
      </c>
      <c r="G15" s="15"/>
      <c r="I15" s="1" t="s">
        <v>242</v>
      </c>
      <c r="K15" s="1" t="s">
        <v>243</v>
      </c>
      <c r="L15" s="1">
        <v>500</v>
      </c>
    </row>
    <row r="16" s="1" customFormat="1" customHeight="1" spans="1:12">
      <c r="A16" s="9">
        <v>13</v>
      </c>
      <c r="B16" s="10" t="s">
        <v>244</v>
      </c>
      <c r="C16" s="11" t="s">
        <v>97</v>
      </c>
      <c r="D16" s="12">
        <v>30</v>
      </c>
      <c r="E16" s="13">
        <v>0.8577</v>
      </c>
      <c r="F16" s="14">
        <f t="shared" si="0"/>
        <v>34.9772647778944</v>
      </c>
      <c r="G16" s="15"/>
      <c r="I16" s="1" t="s">
        <v>244</v>
      </c>
      <c r="K16" s="1" t="s">
        <v>97</v>
      </c>
      <c r="L16" s="1">
        <v>30</v>
      </c>
    </row>
    <row r="17" s="1" customFormat="1" customHeight="1" spans="1:12">
      <c r="A17" s="9">
        <v>14</v>
      </c>
      <c r="B17" s="10" t="s">
        <v>245</v>
      </c>
      <c r="C17" s="11" t="s">
        <v>97</v>
      </c>
      <c r="D17" s="12">
        <v>5</v>
      </c>
      <c r="E17" s="13">
        <v>0.8577</v>
      </c>
      <c r="F17" s="14">
        <f t="shared" si="0"/>
        <v>5.82954412964906</v>
      </c>
      <c r="G17" s="15"/>
      <c r="I17" s="1" t="s">
        <v>245</v>
      </c>
      <c r="K17" s="1" t="s">
        <v>97</v>
      </c>
      <c r="L17" s="1">
        <v>5</v>
      </c>
    </row>
    <row r="18" s="1" customFormat="1" customHeight="1" spans="1:12">
      <c r="A18" s="9">
        <v>15</v>
      </c>
      <c r="B18" s="10" t="s">
        <v>246</v>
      </c>
      <c r="C18" s="11" t="s">
        <v>97</v>
      </c>
      <c r="D18" s="12">
        <v>5</v>
      </c>
      <c r="E18" s="13">
        <v>0.8577</v>
      </c>
      <c r="F18" s="14">
        <f t="shared" si="0"/>
        <v>5.82954412964906</v>
      </c>
      <c r="G18" s="15"/>
      <c r="I18" s="1" t="s">
        <v>246</v>
      </c>
      <c r="K18" s="1" t="s">
        <v>97</v>
      </c>
      <c r="L18" s="1">
        <v>5</v>
      </c>
    </row>
    <row r="19" s="1" customFormat="1" customHeight="1" spans="1:12">
      <c r="A19" s="9">
        <v>16</v>
      </c>
      <c r="B19" s="10" t="s">
        <v>247</v>
      </c>
      <c r="C19" s="11" t="s">
        <v>97</v>
      </c>
      <c r="D19" s="12">
        <v>5</v>
      </c>
      <c r="E19" s="13">
        <v>0.8577</v>
      </c>
      <c r="F19" s="14">
        <f t="shared" si="0"/>
        <v>5.82954412964906</v>
      </c>
      <c r="G19" s="15"/>
      <c r="I19" s="1" t="s">
        <v>247</v>
      </c>
      <c r="K19" s="1" t="s">
        <v>97</v>
      </c>
      <c r="L19" s="1">
        <v>5</v>
      </c>
    </row>
    <row r="20" s="1" customFormat="1" customHeight="1" spans="1:12">
      <c r="A20" s="9">
        <v>17</v>
      </c>
      <c r="B20" s="10" t="s">
        <v>248</v>
      </c>
      <c r="C20" s="11" t="s">
        <v>97</v>
      </c>
      <c r="D20" s="12">
        <v>5</v>
      </c>
      <c r="E20" s="13">
        <v>0.8577</v>
      </c>
      <c r="F20" s="14">
        <f t="shared" si="0"/>
        <v>5.82954412964906</v>
      </c>
      <c r="G20" s="15"/>
      <c r="I20" s="1" t="s">
        <v>248</v>
      </c>
      <c r="K20" s="1" t="s">
        <v>97</v>
      </c>
      <c r="L20" s="1">
        <v>5</v>
      </c>
    </row>
    <row r="21" s="1" customFormat="1" customHeight="1" spans="1:12">
      <c r="A21" s="9">
        <v>18</v>
      </c>
      <c r="B21" s="10" t="s">
        <v>249</v>
      </c>
      <c r="C21" s="11" t="s">
        <v>190</v>
      </c>
      <c r="D21" s="12">
        <v>5</v>
      </c>
      <c r="E21" s="13">
        <v>0.8577</v>
      </c>
      <c r="F21" s="14">
        <f t="shared" si="0"/>
        <v>5.82954412964906</v>
      </c>
      <c r="G21" s="15"/>
      <c r="I21" s="1" t="s">
        <v>249</v>
      </c>
      <c r="K21" s="1" t="s">
        <v>190</v>
      </c>
      <c r="L21" s="1">
        <v>5</v>
      </c>
    </row>
    <row r="22" s="1" customFormat="1" customHeight="1" spans="1:12">
      <c r="A22" s="9">
        <v>19</v>
      </c>
      <c r="B22" s="10" t="s">
        <v>250</v>
      </c>
      <c r="C22" s="11" t="s">
        <v>81</v>
      </c>
      <c r="D22" s="12">
        <v>300</v>
      </c>
      <c r="E22" s="13">
        <v>0.8577</v>
      </c>
      <c r="F22" s="14">
        <f t="shared" si="0"/>
        <v>349.772647778944</v>
      </c>
      <c r="G22" s="15"/>
      <c r="I22" s="1" t="s">
        <v>250</v>
      </c>
      <c r="K22" s="1" t="s">
        <v>81</v>
      </c>
      <c r="L22" s="1">
        <v>300</v>
      </c>
    </row>
    <row r="23" s="1" customFormat="1" customHeight="1" spans="1:12">
      <c r="A23" s="9">
        <v>20</v>
      </c>
      <c r="B23" s="10" t="s">
        <v>251</v>
      </c>
      <c r="C23" s="11" t="s">
        <v>185</v>
      </c>
      <c r="D23" s="12">
        <v>30</v>
      </c>
      <c r="E23" s="13">
        <v>0.8577</v>
      </c>
      <c r="F23" s="14">
        <f t="shared" si="0"/>
        <v>34.9772647778944</v>
      </c>
      <c r="G23" s="15"/>
      <c r="I23" s="2" t="s">
        <v>251</v>
      </c>
      <c r="J23" s="2"/>
      <c r="K23" s="2" t="s">
        <v>185</v>
      </c>
      <c r="L23" s="2">
        <v>30</v>
      </c>
    </row>
    <row r="24" s="1" customFormat="1" customHeight="1" spans="1:12">
      <c r="A24" s="9">
        <v>21</v>
      </c>
      <c r="B24" s="10" t="s">
        <v>252</v>
      </c>
      <c r="C24" s="11" t="s">
        <v>185</v>
      </c>
      <c r="D24" s="12">
        <v>2</v>
      </c>
      <c r="E24" s="13">
        <v>0.8577</v>
      </c>
      <c r="F24" s="14">
        <f t="shared" si="0"/>
        <v>2.33181765185962</v>
      </c>
      <c r="G24" s="15"/>
      <c r="I24" s="2" t="s">
        <v>252</v>
      </c>
      <c r="J24" s="2"/>
      <c r="K24" s="2" t="s">
        <v>185</v>
      </c>
      <c r="L24" s="2">
        <v>2</v>
      </c>
    </row>
    <row r="25" s="1" customFormat="1" customHeight="1" spans="1:7">
      <c r="A25" s="9">
        <v>22</v>
      </c>
      <c r="B25" s="18"/>
      <c r="C25" s="19"/>
      <c r="D25" s="12"/>
      <c r="E25" s="13"/>
      <c r="F25" s="14"/>
      <c r="G25" s="20"/>
    </row>
    <row r="26" s="2" customFormat="1" customHeight="1" spans="1:14">
      <c r="A26" s="3"/>
      <c r="B26" s="1"/>
      <c r="C26" s="3"/>
      <c r="D26" s="1"/>
      <c r="E26" s="1"/>
      <c r="F26" s="1"/>
      <c r="G26" s="1"/>
      <c r="M26" s="1"/>
      <c r="N26" s="1"/>
    </row>
    <row r="27" s="2" customFormat="1" customHeight="1" spans="1:14">
      <c r="A27" s="3"/>
      <c r="B27" s="1"/>
      <c r="C27" s="3"/>
      <c r="D27" s="1"/>
      <c r="E27" s="1"/>
      <c r="F27" s="1"/>
      <c r="G27" s="1"/>
      <c r="I27" s="1"/>
      <c r="J27" s="1"/>
      <c r="K27" s="1"/>
      <c r="L27" s="1"/>
      <c r="M27" s="1"/>
      <c r="N27" s="1"/>
    </row>
  </sheetData>
  <mergeCells count="2">
    <mergeCell ref="A1:G1"/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 </vt:lpstr>
      <vt:lpstr>汇总表</vt:lpstr>
      <vt:lpstr>结算审核表</vt:lpstr>
      <vt:lpstr>工程量核对表</vt:lpstr>
      <vt:lpstr>工程量计算稿</vt:lpstr>
      <vt:lpstr>材料价格除税表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高山流水</cp:lastModifiedBy>
  <dcterms:created xsi:type="dcterms:W3CDTF">2018-05-26T08:12:00Z</dcterms:created>
  <cp:lastPrinted>2019-01-30T08:22:00Z</cp:lastPrinted>
  <dcterms:modified xsi:type="dcterms:W3CDTF">2024-07-12T07:30:59Z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D1B6A733CA8D4C63B04411A9CFA11A95</vt:lpwstr>
  </property>
  <property fmtid="{D5CDD505-2E9C-101B-9397-08002B2CF9AE}" pid="5" name="commondata">
    <vt:lpwstr>eyJoZGlkIjoiNjY0ZTcwMjc5NmU1NmVjMjEyMmZhM2ZhZTAwY2U5YmUifQ==</vt:lpwstr>
  </property>
</Properties>
</file>