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 tabRatio="783" activeTab="2"/>
  </bookViews>
  <sheets>
    <sheet name="封面 " sheetId="15" r:id="rId1"/>
    <sheet name="汇总表" sheetId="1" r:id="rId2"/>
    <sheet name="结算审核明细表" sheetId="12" r:id="rId3"/>
    <sheet name="工程量核对表" sheetId="3" r:id="rId4"/>
    <sheet name="工程量计算稿" sheetId="7" r:id="rId5"/>
    <sheet name="二转材料统计" sheetId="13" r:id="rId6"/>
    <sheet name="材料价格除税表" sheetId="14" r:id="rId7"/>
  </sheets>
  <externalReferences>
    <externalReference r:id="rId8"/>
    <externalReference r:id="rId9"/>
    <externalReference r:id="rId10"/>
  </externalReferences>
  <definedNames>
    <definedName name="_xlnm._FilterDatabase" localSheetId="2" hidden="1">结算审核明细表!$A$3:$U$390</definedName>
    <definedName name="_xlnm._FilterDatabase" localSheetId="3" hidden="1">工程量核对表!$A$1:$L$382</definedName>
    <definedName name="_xlnm._FilterDatabase" localSheetId="4" hidden="1">工程量计算稿!$A$1:$K$403</definedName>
    <definedName name="D">EVALUATE(工程量计算稿!XFD1048574)</definedName>
    <definedName name="_xlnm.Print_Titles" localSheetId="3">工程量核对表!$1:$4</definedName>
    <definedName name="_xlnm.Print_Titles" localSheetId="4">工程量计算稿!$1:$3</definedName>
    <definedName name="_xlnm.Print_Titles" localSheetId="1">汇总表!$1:$4</definedName>
    <definedName name="_xlnm.Print_Titles" localSheetId="2">结算审核明细表!$1:$5</definedName>
    <definedName name="D" localSheetId="5">EVALUATE(#REF!)</definedName>
    <definedName name="D" localSheetId="6">EVALUATE([2]工程量计算稿!XFD1048574)</definedName>
    <definedName name="D" localSheetId="0">EVALUATE([3]工程量计算稿!XFD1048574)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<sst xmlns="http://schemas.openxmlformats.org/spreadsheetml/2006/main" count="1981" uniqueCount="498">
  <si>
    <t/>
  </si>
  <si>
    <t>南江县下两镇柑树坪村饮水安全工程</t>
  </si>
  <si>
    <t>结算审计复核情况公示</t>
  </si>
  <si>
    <t>签约合同价(小写):</t>
  </si>
  <si>
    <t>(大写):</t>
  </si>
  <si>
    <t>竣工结算价(小写):</t>
  </si>
  <si>
    <t>结    算
多计金额（小写):</t>
  </si>
  <si>
    <t>发　包　人:</t>
  </si>
  <si>
    <t>南江县下两镇柑树坪村村民委员会</t>
  </si>
  <si>
    <t>承　包　人:</t>
  </si>
  <si>
    <t>南江县永兴建筑工程有限公司</t>
  </si>
  <si>
    <t>造价咨询人:</t>
  </si>
  <si>
    <t>永道工程咨询（江苏）有限公司</t>
  </si>
  <si>
    <t>(单位盖章)</t>
  </si>
  <si>
    <t>法定代表人
或其授权人:</t>
  </si>
  <si>
    <t xml:space="preserve"> </t>
  </si>
  <si>
    <t>(签字或盖章)</t>
  </si>
  <si>
    <t>复 核 单 位:</t>
  </si>
  <si>
    <t>南江县审计局</t>
  </si>
  <si>
    <t>复  核　人:</t>
  </si>
  <si>
    <t xml:space="preserve">
复 核 时 间:</t>
  </si>
  <si>
    <t>结算审核汇总表</t>
  </si>
  <si>
    <t>工程名称：南江县下两镇柑树坪村饮水安全工程</t>
  </si>
  <si>
    <t>序号</t>
  </si>
  <si>
    <t>工程项目及名称</t>
  </si>
  <si>
    <t>单位</t>
  </si>
  <si>
    <t>签约合同价（元）</t>
  </si>
  <si>
    <t>竣工结算价（元）</t>
  </si>
  <si>
    <t>结算审核价（元）</t>
  </si>
  <si>
    <t>审核增减（元）</t>
  </si>
  <si>
    <t>备 注</t>
  </si>
  <si>
    <t>设备费</t>
  </si>
  <si>
    <t>安装费</t>
  </si>
  <si>
    <t>相比签约合同价</t>
  </si>
  <si>
    <t>相比竣工结算价</t>
  </si>
  <si>
    <t>新增</t>
  </si>
  <si>
    <t>业主自行核定</t>
  </si>
  <si>
    <t>第五部分 独立费用</t>
  </si>
  <si>
    <t>工程总投资</t>
  </si>
  <si>
    <t>其中甲供PE管材费</t>
  </si>
  <si>
    <t>其中勘测设计费</t>
  </si>
  <si>
    <t>让利1%</t>
  </si>
  <si>
    <t>结算总价</t>
  </si>
  <si>
    <t>竣工结算审核明细表</t>
  </si>
  <si>
    <t>编号</t>
  </si>
  <si>
    <t>设计预算价</t>
  </si>
  <si>
    <t>竣工结算价</t>
  </si>
  <si>
    <t>结算审核价</t>
  </si>
  <si>
    <t>备注</t>
  </si>
  <si>
    <t>数量</t>
  </si>
  <si>
    <t>单价(元)</t>
  </si>
  <si>
    <t>合价(元)</t>
  </si>
  <si>
    <t>相比设计预算价</t>
  </si>
  <si>
    <t>相比送审结算价</t>
  </si>
  <si>
    <t>第一部分 建筑工程</t>
  </si>
  <si>
    <t>设计预算的工程量为不同点位合并工程量</t>
  </si>
  <si>
    <t>蓄水池2个</t>
  </si>
  <si>
    <t>t</t>
  </si>
  <si>
    <t>设计预算价，结算单位为吨</t>
  </si>
  <si>
    <t>新组单价</t>
  </si>
  <si>
    <t>签证单价（扣税）</t>
  </si>
  <si>
    <t>设计预算中5m蓄水池厂区工程</t>
  </si>
  <si>
    <t>设计预算中4个
闸阀井</t>
  </si>
  <si>
    <t>（五）</t>
  </si>
  <si>
    <t>签证运距200m</t>
  </si>
  <si>
    <t>设计预算中
过滤池4个</t>
  </si>
  <si>
    <t>签证运距100m</t>
  </si>
  <si>
    <t>设计预算中
3m蓄水池2个</t>
  </si>
  <si>
    <t>设计预算中3m蓄水池厂区工程</t>
  </si>
  <si>
    <t>签证运距80m</t>
  </si>
  <si>
    <t>签证运距150m</t>
  </si>
  <si>
    <t>设计预算价，
结算单位为吨</t>
  </si>
  <si>
    <t>执行原设计预算</t>
  </si>
  <si>
    <t>参照dn63闸阀单价</t>
  </si>
  <si>
    <t>第五部分 勘测设计费</t>
  </si>
  <si>
    <t>备注：本表中“钢筋制安”设计预算工程量单位为kg，竣工结算及审核的工程量单位为t。</t>
  </si>
  <si>
    <t>工程量核对表</t>
  </si>
  <si>
    <t>合同
工程量</t>
  </si>
  <si>
    <t>送审
工程量</t>
  </si>
  <si>
    <t>审核
工程量</t>
  </si>
  <si>
    <t>工程量增减</t>
  </si>
  <si>
    <t>相比合同</t>
  </si>
  <si>
    <t>相比送审</t>
  </si>
  <si>
    <t>设计C20砼</t>
  </si>
  <si>
    <t>c20</t>
  </si>
  <si>
    <t>c25</t>
  </si>
  <si>
    <t>现场实际为混凝土浇筑</t>
  </si>
  <si>
    <t>C20</t>
  </si>
  <si>
    <t>为新增项目</t>
  </si>
  <si>
    <t>工程量计算稿</t>
  </si>
  <si>
    <t>计算式</t>
  </si>
  <si>
    <t>工程量</t>
  </si>
  <si>
    <t>一</t>
  </si>
  <si>
    <t>张家湾供水工程</t>
  </si>
  <si>
    <t>（一）</t>
  </si>
  <si>
    <t>蓄水池工程</t>
  </si>
  <si>
    <t>个</t>
  </si>
  <si>
    <t>土方开挖</t>
  </si>
  <si>
    <t>m3</t>
  </si>
  <si>
    <t>8.4*7.5*0.5</t>
  </si>
  <si>
    <t>石方开挖</t>
  </si>
  <si>
    <t>6.4*6.1*2.4</t>
  </si>
  <si>
    <t>土石方回填</t>
  </si>
  <si>
    <t>C25砼 2级配 32.5水泥 粒径40mm（底板）</t>
  </si>
  <si>
    <t>6.2*5.7*0.1</t>
  </si>
  <si>
    <t>C25砼 2级配 32.5水泥 粒径40mm（顶板）</t>
  </si>
  <si>
    <t>(6*5.5-1.27*1.23)*0.13</t>
  </si>
  <si>
    <t>C25砼 2级配 32.5水泥 粒径40mm（梁）</t>
  </si>
  <si>
    <t>(6+5.5-0.24*4-0.3)*0.3*0.3</t>
  </si>
  <si>
    <t>C25砼 2级配 32.5水泥 粒径40mm（侧墙）</t>
  </si>
  <si>
    <t>(6+5.5-0.24*2)*2*3.1*0.24</t>
  </si>
  <si>
    <t>M7.5砌砖</t>
  </si>
  <si>
    <t>木模制安</t>
  </si>
  <si>
    <t>m2</t>
  </si>
  <si>
    <t>(6+5.5)*2*(3.1+0.2+0.12)+(5.52+5.02)*2*3.1+5.52*5.02-1.27*1.23+(6+5.5-0.24*4-0.3)*0.3*2</t>
  </si>
  <si>
    <t>钢筋制安</t>
  </si>
  <si>
    <t>kg</t>
  </si>
  <si>
    <t>1.27*1.23</t>
  </si>
  <si>
    <t>盖板钢筋</t>
  </si>
  <si>
    <t>(40*5.46+37*5.96-1.24*8-1.19*9)*0.888</t>
  </si>
  <si>
    <t>底板钢筋</t>
  </si>
  <si>
    <t>(42*5.66+38*5.16)*0.395*2</t>
  </si>
  <si>
    <t>十字梁钢筋</t>
  </si>
  <si>
    <t>(6+5.5-0.24*4-0.3)*4*1.21+9*1.16*0.395</t>
  </si>
  <si>
    <t>外长</t>
  </si>
  <si>
    <t>外宽</t>
  </si>
  <si>
    <t>高</t>
  </si>
  <si>
    <t>侧墙钢筋</t>
  </si>
  <si>
    <t>(30*3.06+16*5.96+28*3.06+16*5.46)*0.888*2</t>
  </si>
  <si>
    <t>M10沙浆抹面</t>
  </si>
  <si>
    <t>蓄水池为混凝土浇筑</t>
  </si>
  <si>
    <t>M10沙浆抹面瓷砖粘贴</t>
  </si>
  <si>
    <t>(0.7+2.35)/2*2.9+2.25*2.35+5.5*2</t>
  </si>
  <si>
    <t>人力二次转运材料（运距300米)</t>
  </si>
  <si>
    <t>吨/km</t>
  </si>
  <si>
    <t>通气进人孔</t>
  </si>
  <si>
    <t>套</t>
  </si>
  <si>
    <t>电力线</t>
  </si>
  <si>
    <t>m</t>
  </si>
  <si>
    <t>杀毒器</t>
  </si>
  <si>
    <t>台</t>
  </si>
  <si>
    <t>抽水泵（200m）</t>
  </si>
  <si>
    <t>一体化净化器</t>
  </si>
  <si>
    <t>C20砼垫层</t>
  </si>
  <si>
    <t>6.2*5.7*0.05</t>
  </si>
  <si>
    <t>爬梯制安</t>
  </si>
  <si>
    <t>步</t>
  </si>
  <si>
    <t>脚手架</t>
  </si>
  <si>
    <t>5.52*5.02*0</t>
  </si>
  <si>
    <t>池顶不锈钢护栏</t>
  </si>
  <si>
    <t>(6+5.5)*2*1.5</t>
  </si>
  <si>
    <t>饮水安全标志牌</t>
  </si>
  <si>
    <t>（二）</t>
  </si>
  <si>
    <t>过滤池（集水池工程）</t>
  </si>
  <si>
    <t>2.1*1.8*0.7</t>
  </si>
  <si>
    <t>C25混凝土底板浇筑</t>
  </si>
  <si>
    <t>2*1.7*0.1</t>
  </si>
  <si>
    <t>C25混凝土顶板浇筑</t>
  </si>
  <si>
    <t>2*.17*0.1</t>
  </si>
  <si>
    <t>M7.5砖砌</t>
  </si>
  <si>
    <t>(2+1.7-0.48)*2*1*0.24</t>
  </si>
  <si>
    <t>(14*1.64+12*1.94)*0.395</t>
  </si>
  <si>
    <t>(1.5+1.2)*2*1.44</t>
  </si>
  <si>
    <t>砂石滤料</t>
  </si>
  <si>
    <t>1.52*1.22*0.8</t>
  </si>
  <si>
    <t>2.1*1.8*0.3</t>
  </si>
  <si>
    <t>(2.1+1.8)*2*0.3*1</t>
  </si>
  <si>
    <t>（三）</t>
  </si>
  <si>
    <t>5m蓄水池厂区工程（张家湾、长湾）</t>
  </si>
  <si>
    <t>C25砼厂区硬化</t>
  </si>
  <si>
    <t>C25圈梁基础</t>
  </si>
  <si>
    <t>M7.5砖砌围墙</t>
  </si>
  <si>
    <t>墙面瓷砖粘贴</t>
  </si>
  <si>
    <t>不锈钢大门</t>
  </si>
  <si>
    <t>不锈钢护栏</t>
  </si>
  <si>
    <t>（四）</t>
  </si>
  <si>
    <t>闸室工程</t>
  </si>
  <si>
    <t>闸阀井</t>
  </si>
  <si>
    <t>1.9*1.8*1.2*0.6</t>
  </si>
  <si>
    <t>1.9*1.8*1.2*0.4</t>
  </si>
  <si>
    <t>(1.7+1.8)*0.2*1.1</t>
  </si>
  <si>
    <t>1.6*1.7*0.15</t>
  </si>
  <si>
    <t>(1.6+1.7-0.24*2)*2*1*0.24</t>
  </si>
  <si>
    <t>(1.12+1.22)*2*1.54</t>
  </si>
  <si>
    <t>1.6*1.7*0.055</t>
  </si>
  <si>
    <t>(1.6+1.7)*2*0.055</t>
  </si>
  <si>
    <t>(11*1.66+12*1.56)*0.395*2</t>
  </si>
  <si>
    <t>防洪墙及附属工程</t>
  </si>
  <si>
    <t>16.5*(1.2+1.5)/2*2+(2.5+4.45)*2*1.2</t>
  </si>
  <si>
    <t>C20砼墙</t>
  </si>
  <si>
    <t>(2.5+4.45)*(1.85+2.08)/2*(0.83+0.8)/2</t>
  </si>
  <si>
    <t>4.63*(1.64+1.04)/2*0.83</t>
  </si>
  <si>
    <t>人工干砌块石</t>
  </si>
  <si>
    <t>(2.26+4.06)*(1+0.6)/2*1.6</t>
  </si>
  <si>
    <t>M7.5页岩砖砖堡坎</t>
  </si>
  <si>
    <t>(2.26+4.06)*0.8*0.24</t>
  </si>
  <si>
    <t>(2.26+4.06)*(1.7+1.35)/2</t>
  </si>
  <si>
    <t>(6.4+7.05)*(2.4+3)/2*2</t>
  </si>
  <si>
    <t>C20梯步</t>
  </si>
  <si>
    <t>3*0.85*0.1+3*0.85*0.2*0.25/2</t>
  </si>
  <si>
    <t>10*0.8*0.1+10*0.8*0.24*0.17/2</t>
  </si>
  <si>
    <t>5*0.8*0.1+3*0.8*0.2*0.15+2*0.8*0.12*0.15</t>
  </si>
  <si>
    <t>C20砼地面</t>
  </si>
  <si>
    <t>(8.3*0.8+3.5*1.3)*0.1</t>
  </si>
  <si>
    <t>((2.5+4.45)*(1.85+2.08)/2+4.63*(1.64+1.04)/2)*2+3*0.85*0.2+10*0.8*0.14+3*0.8*0.2+2*0.8*0.12</t>
  </si>
  <si>
    <t>（六）</t>
  </si>
  <si>
    <t>建筑材料人力二次运输</t>
  </si>
  <si>
    <t>人力二次转运材料100米</t>
  </si>
  <si>
    <t>水泥</t>
  </si>
  <si>
    <t>砂</t>
  </si>
  <si>
    <t>碎石</t>
  </si>
  <si>
    <t>页岩砖</t>
  </si>
  <si>
    <t>千匹</t>
  </si>
  <si>
    <t>钢筋</t>
  </si>
  <si>
    <t>二</t>
  </si>
  <si>
    <t>长湾供水工程</t>
  </si>
  <si>
    <t>A</t>
  </si>
  <si>
    <t>主体工程</t>
  </si>
  <si>
    <t>(6.62*4.6*0.2+7.12*5.1*2.5)*0.6</t>
  </si>
  <si>
    <t>6.42*4.4</t>
  </si>
  <si>
    <t>(6.62*4.6*0.2+7.12*5.1*2.5)*0.4</t>
  </si>
  <si>
    <t>(6.42*2+4.4)*(0.2+1.3)/2*3</t>
  </si>
  <si>
    <t>6.62*4.6*0.1</t>
  </si>
  <si>
    <t>(6.42*4.4-1.44*1.44)*0.12</t>
  </si>
  <si>
    <t>4.4*0.3*0.3</t>
  </si>
  <si>
    <t>(6.42+4.4-0.24*2)*2*3.12*0.24</t>
  </si>
  <si>
    <t>(6.42+4.4)*2*3.24+5.94*3.92-1.44*1.44+(5.94+3.92)*2*3.12+4.4*0.3*2</t>
  </si>
  <si>
    <t>(43*4.36+30*6.38-1.4*10-1.4*10)*0.888</t>
  </si>
  <si>
    <t>(44*4.56+31*6.58)*0.395*2</t>
  </si>
  <si>
    <t>横梁钢筋</t>
  </si>
  <si>
    <t>(4.4*4*1.21+22*1.16*0.395)</t>
  </si>
  <si>
    <t>(32*3.08+16*6.38+22*3.08+16*4.36)*0.888*2</t>
  </si>
  <si>
    <t>(0.1+0.7)/2*1.1+(2.4+1.4)/2*2.48+3.94*2.4</t>
  </si>
  <si>
    <t>6.62*4.6*0.05</t>
  </si>
  <si>
    <t>(6.42*2+4.4)*0.6*0.1</t>
  </si>
  <si>
    <t>5.94*3.92*0</t>
  </si>
  <si>
    <t>(5.8+4.1)*2*1.5</t>
  </si>
  <si>
    <t>B(新增)</t>
  </si>
  <si>
    <t>排污、供水管工程</t>
  </si>
  <si>
    <t>2.8*1.7*2.8*0.8</t>
  </si>
  <si>
    <t>2.8*1.7*2.8*0.2</t>
  </si>
  <si>
    <t>2.8*1.7*2.8</t>
  </si>
  <si>
    <t>C20砼 截留环（2个）</t>
  </si>
  <si>
    <t>1*1*0.5*2</t>
  </si>
  <si>
    <t>6*1.6*0.7*0.7</t>
  </si>
  <si>
    <t>C25混凝土底板浇筑【资料C20】</t>
  </si>
  <si>
    <t>5.6*1.4*0.1</t>
  </si>
  <si>
    <t>5.6*1.4*0.07</t>
  </si>
  <si>
    <t>(5.6+1.4-0.24*2)*2*0.6*0.24</t>
  </si>
  <si>
    <t>5.12*0.92+(5.6+1.4)*2*0.07</t>
  </si>
  <si>
    <t>(38*1.36+10*5.56)*0.395*2</t>
  </si>
  <si>
    <t>(5.12+0.92)*2*0.94</t>
  </si>
  <si>
    <t>5.12*0.92*0.5</t>
  </si>
  <si>
    <t>6*1.6*0.7*0.3</t>
  </si>
  <si>
    <t>(5.6+1.4)*2*0.2*0.5</t>
  </si>
  <si>
    <t>闸室工程(尺寸1.6*1.65*1m)</t>
  </si>
  <si>
    <t>2.1*2.3*1.1*0.7</t>
  </si>
  <si>
    <t>2.1*2.3*1.1*0.3</t>
  </si>
  <si>
    <t>(1.6*2+1.7)*0.2*1</t>
  </si>
  <si>
    <t>(1.7+1.6-0.24*2)*2*1*0.24</t>
  </si>
  <si>
    <t>(1.12+1.22)*2*1.44</t>
  </si>
  <si>
    <t>1.7*1.6*0.06</t>
  </si>
  <si>
    <t>(1.6+1.7)*2*0.06</t>
  </si>
  <si>
    <t>人力二次转运材料200米</t>
  </si>
  <si>
    <t>t/km</t>
  </si>
  <si>
    <t>三</t>
  </si>
  <si>
    <t>刘家湾供水工程</t>
  </si>
  <si>
    <t>8*7*0.3</t>
  </si>
  <si>
    <t>7*6.8*1</t>
  </si>
  <si>
    <t>(6.4+6.95)*0.6*0.8</t>
  </si>
  <si>
    <t>6.6*5.7*0.1</t>
  </si>
  <si>
    <t>6.4*5.5*0.1</t>
  </si>
  <si>
    <t>(6.4+5.5-0.24*4-0.3)*0.3*0.3</t>
  </si>
  <si>
    <t>(6.4+5.5-0.24*2)*3.1*0.24</t>
  </si>
  <si>
    <t>(6.4+5.5)*2*3.1+(5.92+5.02)*2*(3.1+0.12)+(5.92*5.02-1.72*1.2)+(5.92+5.02-0.3)*0.3</t>
  </si>
  <si>
    <t>(43*5.46+37*6.36-12*1.16-8*1.68)*0.395</t>
  </si>
  <si>
    <t>(44*5.66+38*6.56)*0.395*2</t>
  </si>
  <si>
    <t>(11.9*4*1.21+60*1.16*0.395)</t>
  </si>
  <si>
    <t>(32*3.06+16*6.36+28*3.06+16*5.46)*0.888*2</t>
  </si>
  <si>
    <t>6.4*2.3+5.5*3*0.45</t>
  </si>
  <si>
    <t>6.6*5.7*0.05</t>
  </si>
  <si>
    <t>(6.4+6.5)*2*0.43*0.1</t>
  </si>
  <si>
    <t>5.92*5.02*0</t>
  </si>
  <si>
    <t>(5.5+6.4)*2*1.5</t>
  </si>
  <si>
    <t>干砌块石堡坎</t>
  </si>
  <si>
    <t>(6.4+6.95)*0.6*(1.8+1.3)/2</t>
  </si>
  <si>
    <t>2.1*1.8*0.6</t>
  </si>
  <si>
    <t>2*1.7*0.07</t>
  </si>
  <si>
    <t>(2+1.7-0.24*2)*2*0.7</t>
  </si>
  <si>
    <t>1.52*1.22+(2+1.7)*2*0.07</t>
  </si>
  <si>
    <t>(14*1.66+11*1.96)*0.395*2</t>
  </si>
  <si>
    <t>(1.52+1.22)*2*1.04</t>
  </si>
  <si>
    <t>1.52*1.22*0.6</t>
  </si>
  <si>
    <t>2.1*1.8*0.4</t>
  </si>
  <si>
    <t>(2+1.7)*2*0.3*0.7</t>
  </si>
  <si>
    <t>3m蓄水池厂区工程（刘家湾、张家梁）</t>
  </si>
  <si>
    <t>1.8*1.7*1*0.6</t>
  </si>
  <si>
    <t>1.8*1.7*1*0.4</t>
  </si>
  <si>
    <t>(1.7+1.6)*0.2*1</t>
  </si>
  <si>
    <t>1.7*1.6*0.15</t>
  </si>
  <si>
    <t>(1.7+1.6-0.24*2)*2*0.7*0.24</t>
  </si>
  <si>
    <t>(1.22+1.12)*2*1.34</t>
  </si>
  <si>
    <t>1.7*1.6*0.05</t>
  </si>
  <si>
    <t>(1.6+1.7)*2*0.05</t>
  </si>
  <si>
    <t>块石</t>
  </si>
  <si>
    <t>四</t>
  </si>
  <si>
    <t>张家梁供水工程</t>
  </si>
  <si>
    <t>蓄水池工程（Ф=5.5m，H=3.2m）</t>
  </si>
  <si>
    <t>(3.14*2.84^2*0.2+3.14*3.3^2*2.34)*0.6</t>
  </si>
  <si>
    <t>(3.14*2.84^2*0.2+3.14*3.3^2*2.34)*0.4</t>
  </si>
  <si>
    <t>5.48*3.14*(0.2+1)/2*2.5</t>
  </si>
  <si>
    <t>3.14*2.84^2*0.1</t>
  </si>
  <si>
    <t>C25砼 2级配 32.5水泥 粒径40mm（含顶板、梁）</t>
  </si>
  <si>
    <t>(3.14*2.74^2-1.1*0.78)*0.1</t>
  </si>
  <si>
    <t>3.14*5.24*3.04*0.24</t>
  </si>
  <si>
    <t>5.48*0.1+3.14*2.5^2-1.1*0.78</t>
  </si>
  <si>
    <t>(378.86+422.28)*0.617</t>
  </si>
  <si>
    <t>3.14*5*3.04+3.14*5.48*(0.7+1.35)/2</t>
  </si>
  <si>
    <t>3.14*5.48*(0.7+1.35)/2</t>
  </si>
  <si>
    <t>C15砼垫层</t>
  </si>
  <si>
    <t>3.14*2.84^2*0.05</t>
  </si>
  <si>
    <t>(3.14*(((0.5+1.1+0.8*2)/4+5.48)/2)^2-3.14*2.74^2)*0.1</t>
  </si>
  <si>
    <t>3.14*2.5^2*0</t>
  </si>
  <si>
    <t>5.48*3.14</t>
  </si>
  <si>
    <t>3.9*1.4*0.6*0.6</t>
  </si>
  <si>
    <t>3.6*1.4*0.1</t>
  </si>
  <si>
    <t>3.6*1.4*0.07</t>
  </si>
  <si>
    <t>(3.6+1.4-0.24*2)*2*0.5*0.24</t>
  </si>
  <si>
    <t>3.12*0.92+(3.6+1.4)*2*0.07</t>
  </si>
  <si>
    <t>(24*3.56+10*1.36)*0.395*2</t>
  </si>
  <si>
    <t>(3.12+0.92)*2*(0.5+0.24+0.1)</t>
  </si>
  <si>
    <t>3*0.92*0.4</t>
  </si>
  <si>
    <t>3.9*1.4*0.6*0.4</t>
  </si>
  <si>
    <t>(3.6+1.4)*2*0.3*0.5</t>
  </si>
  <si>
    <t>净宽</t>
  </si>
  <si>
    <t>净长</t>
  </si>
  <si>
    <t>净高</t>
  </si>
  <si>
    <t>1.74*1.54*1.8*0.6</t>
  </si>
  <si>
    <t>1.74*1.54*1.8*0.4</t>
  </si>
  <si>
    <t>(0.96+1.4)*2*0.5*1.76</t>
  </si>
  <si>
    <t>1.64*1.44*0.15</t>
  </si>
  <si>
    <t>(0.96+1.64*2)*1.76*0.24</t>
  </si>
  <si>
    <t>(0.96+1.4)*2*2.2</t>
  </si>
  <si>
    <t>C25混凝土顶板浇筑【资料C20】</t>
  </si>
  <si>
    <t>1.64*1.44*0.04</t>
  </si>
  <si>
    <t>0.96*1.4+(1.44+1.64)*2*0.04</t>
  </si>
  <si>
    <t>6*(1.2+2.5)/2*3.2*0.8</t>
  </si>
  <si>
    <t>6*(1.2+2.5)/2*3.2*0.2</t>
  </si>
  <si>
    <t>6*(1.2+2.5)/2*3.2</t>
  </si>
  <si>
    <t>临时公路</t>
  </si>
  <si>
    <t>临时施工路</t>
  </si>
  <si>
    <t>km</t>
  </si>
  <si>
    <t>0.3*0</t>
  </si>
  <si>
    <t>五</t>
  </si>
  <si>
    <t>李家山供水工程</t>
  </si>
  <si>
    <t>(3.7*3.7*0.2+3.86*3.86*1.3)*0.55</t>
  </si>
  <si>
    <t>(3.7*3.7*0.2+3.86*3.86*1.3)*0.45</t>
  </si>
  <si>
    <t>3.5*3*0.3+3.5*(0.1+1.3)/2*2.52</t>
  </si>
  <si>
    <t>3.7*3.7*0.15</t>
  </si>
  <si>
    <t>(3.5+3.5-0.24*2)*2*2.52*0.24</t>
  </si>
  <si>
    <t>(3.5*3.5-1.3*1.73)*0.12</t>
  </si>
  <si>
    <t>3.5*4*(2.52+0.12)+3.04*4*2.52+3.04*3.04-1.3*1.73</t>
  </si>
  <si>
    <t>(24*3.46*2-12*1.26-9*1.69)*0.395</t>
  </si>
  <si>
    <t>25*3.66*2*0.395*2</t>
  </si>
  <si>
    <t>(18*2.48+13*3.46)*2*0.888*2</t>
  </si>
  <si>
    <t>3.5*2*(0.9+1.87+2.42)/3+3.5*2</t>
  </si>
  <si>
    <t>3.7*3.7*0.05</t>
  </si>
  <si>
    <t>3.02*3.02*0</t>
  </si>
  <si>
    <t>3.5*4*1.5</t>
  </si>
  <si>
    <t>1.4*1.3*0.8*0.5</t>
  </si>
  <si>
    <t>(1.2+1.1)*0.2*0.7</t>
  </si>
  <si>
    <t>1.1*1.2*0.15</t>
  </si>
  <si>
    <t>(1.2+1.1-0.24*2)*2*0.7*0.24</t>
  </si>
  <si>
    <t>1.1*1.2*0.07</t>
  </si>
  <si>
    <t>0.62*0.72+(1.1+1.2)*2*0.07</t>
  </si>
  <si>
    <t>(6*1.16+6*1.06)*0.395</t>
  </si>
  <si>
    <t>集水池工程</t>
  </si>
  <si>
    <t>无竣工图</t>
  </si>
  <si>
    <t>C25砼现浇基础</t>
  </si>
  <si>
    <t>建筑材料人力二次运输100米</t>
  </si>
  <si>
    <t>六</t>
  </si>
  <si>
    <t>陈家河陈文如处供水工程</t>
  </si>
  <si>
    <t>2.8*2.8*2*0.6</t>
  </si>
  <si>
    <t>2.8*2.8*2*0.4</t>
  </si>
  <si>
    <t>2.7*2.7*0.2</t>
  </si>
  <si>
    <t>(2+2)*2*0.24*2</t>
  </si>
  <si>
    <t>(2+2)*2*(2+0.24+0.1)</t>
  </si>
  <si>
    <t>(18*2.66+18*2.66)*0.395</t>
  </si>
  <si>
    <t>3*(1.8+0.8)/2*2*0.6</t>
  </si>
  <si>
    <t>3*(1.8+0.8)/2*2*0.4</t>
  </si>
  <si>
    <t>0.8*0.8*0.6*2</t>
  </si>
  <si>
    <t>3*(1.8+0.8)/2*2</t>
  </si>
  <si>
    <t>七</t>
  </si>
  <si>
    <t>其他工程</t>
  </si>
  <si>
    <t>南江-柑树坪村PE管运输</t>
  </si>
  <si>
    <t>车</t>
  </si>
  <si>
    <t>7*0</t>
  </si>
  <si>
    <t>合同内已包含，不计</t>
  </si>
  <si>
    <t>PE管上、下车费</t>
  </si>
  <si>
    <t>件</t>
  </si>
  <si>
    <t>322*0</t>
  </si>
  <si>
    <t>dn80mm钢管人力二次运输</t>
  </si>
  <si>
    <t>5088*0</t>
  </si>
  <si>
    <t>dn40mm钢管人力二次运输</t>
  </si>
  <si>
    <t>4002*0</t>
  </si>
  <si>
    <t>第二部分  金属结构设备及安装工程</t>
  </si>
  <si>
    <t>管道安装费</t>
  </si>
  <si>
    <t>dn100热镀钢管</t>
  </si>
  <si>
    <t>dn63mmPE管安装（供水主管）</t>
  </si>
  <si>
    <t>dn50mmPE管安装（供水主管）</t>
  </si>
  <si>
    <t>dn40mmPE管安装（供水主管）</t>
  </si>
  <si>
    <t>dn32mmPE管安装（供水主管）</t>
  </si>
  <si>
    <t>dn25mmPE管安装（供水主管）</t>
  </si>
  <si>
    <t>dn20mmPE管安装（下户管）</t>
  </si>
  <si>
    <t>dn80热镀钢管安装</t>
  </si>
  <si>
    <t>dn40热镀钢管安装</t>
  </si>
  <si>
    <t>dn80mm闸阀购、运、安</t>
  </si>
  <si>
    <t>dn40mm闸阀购、运、安</t>
  </si>
  <si>
    <t>dn40mm减压阀购、运、安</t>
  </si>
  <si>
    <t>dn25mm减压阀购、运、安</t>
  </si>
  <si>
    <t>供水工程</t>
  </si>
  <si>
    <t>(一)</t>
  </si>
  <si>
    <t>dn90mmPE管购、运、安</t>
  </si>
  <si>
    <t>dn63mmPE管购、运、安</t>
  </si>
  <si>
    <t>dn63mm闸阀购、运、安</t>
  </si>
  <si>
    <t>杀毒器购、运、安</t>
  </si>
  <si>
    <t>220V低压供电线路</t>
  </si>
  <si>
    <t>浮球阀</t>
  </si>
  <si>
    <t>一体化净化器购、运、安</t>
  </si>
  <si>
    <t>(二)</t>
  </si>
  <si>
    <t>dn80mm钢闸阀购、运、安</t>
  </si>
  <si>
    <t>(三)</t>
  </si>
  <si>
    <t>dn90mmPE管</t>
  </si>
  <si>
    <t>dn80mm闸阀</t>
  </si>
  <si>
    <t>(四)</t>
  </si>
  <si>
    <t>(五)</t>
  </si>
  <si>
    <t>(六)</t>
  </si>
  <si>
    <t>dn63mmPE管</t>
  </si>
  <si>
    <t>dn50mm闸阀</t>
  </si>
  <si>
    <t>库房领取管材</t>
  </si>
  <si>
    <t>各类管件</t>
  </si>
  <si>
    <t>%</t>
  </si>
  <si>
    <r>
      <rPr>
        <sz val="10"/>
        <rFont val="宋体"/>
        <charset val="134"/>
      </rPr>
      <t>5088</t>
    </r>
    <r>
      <rPr>
        <sz val="10"/>
        <color rgb="FFFF0000"/>
        <rFont val="宋体"/>
        <charset val="134"/>
      </rPr>
      <t>*0</t>
    </r>
  </si>
  <si>
    <r>
      <rPr>
        <sz val="10"/>
        <rFont val="宋体"/>
        <charset val="134"/>
      </rPr>
      <t>4002</t>
    </r>
    <r>
      <rPr>
        <sz val="10"/>
        <color rgb="FFFF0000"/>
        <rFont val="宋体"/>
        <charset val="134"/>
      </rPr>
      <t>*0</t>
    </r>
  </si>
  <si>
    <t>材料耗量分析表</t>
  </si>
  <si>
    <t>集水池工程（过滤池）</t>
  </si>
  <si>
    <t>闸阀井工程</t>
  </si>
  <si>
    <t>分项名称</t>
  </si>
  <si>
    <t>每单位工程量耗量</t>
  </si>
  <si>
    <t>总耗量</t>
  </si>
  <si>
    <t>汇总</t>
  </si>
  <si>
    <t>水泥（kg）</t>
  </si>
  <si>
    <t>砂（m3）</t>
  </si>
  <si>
    <t>碎石（m3）</t>
  </si>
  <si>
    <t>页岩砖  （千匹）</t>
  </si>
  <si>
    <t>块石（m3）</t>
  </si>
  <si>
    <t>水泥（t）</t>
  </si>
  <si>
    <t>C20砼</t>
  </si>
  <si>
    <t>C25砼</t>
  </si>
  <si>
    <t>M7.5浆砌页岩砖</t>
  </si>
  <si>
    <t>M7.5浆砌石</t>
  </si>
  <si>
    <t>M10砂浆抹面</t>
  </si>
  <si>
    <t>100mm厚C20硬化带</t>
  </si>
  <si>
    <t>砂垫层</t>
  </si>
  <si>
    <t>C15垫层（二级配 32.5）</t>
  </si>
  <si>
    <t>干砌块石</t>
  </si>
  <si>
    <t>合 计</t>
  </si>
  <si>
    <t>页岩砖  (千匹)</t>
  </si>
  <si>
    <t>排污</t>
  </si>
  <si>
    <t>材料价格除税表</t>
  </si>
  <si>
    <t>材料名称</t>
  </si>
  <si>
    <t>预算单价    （不含税）</t>
  </si>
  <si>
    <t>除税系数</t>
  </si>
  <si>
    <t>含税单价（元）</t>
  </si>
  <si>
    <t>电</t>
  </si>
  <si>
    <t>kw.h</t>
  </si>
  <si>
    <t>水</t>
  </si>
  <si>
    <t>风</t>
  </si>
  <si>
    <t>柴油</t>
  </si>
  <si>
    <t>汽油</t>
  </si>
  <si>
    <t>炸药</t>
  </si>
  <si>
    <t>水泥（32.5）</t>
  </si>
  <si>
    <t>卵石（40mm）</t>
  </si>
  <si>
    <t>卵石</t>
  </si>
  <si>
    <t>40mm</t>
  </si>
  <si>
    <t>粗砂</t>
  </si>
  <si>
    <t>锯材</t>
  </si>
  <si>
    <t>砖</t>
  </si>
  <si>
    <t>千块</t>
  </si>
  <si>
    <t>电焊条</t>
  </si>
  <si>
    <t>铁钉</t>
  </si>
  <si>
    <t>铁件</t>
  </si>
  <si>
    <t>铁件及预埋铁件</t>
  </si>
  <si>
    <t>铁丝</t>
  </si>
  <si>
    <t>导火线</t>
  </si>
  <si>
    <t>预制混凝土柱</t>
  </si>
  <si>
    <t>合金钻头</t>
  </si>
  <si>
    <t>雷管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</si>
</sst>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%"/>
    <numFmt numFmtId="178" formatCode="0.000000_ "/>
    <numFmt numFmtId="179" formatCode="0.000_ "/>
    <numFmt numFmtId="180" formatCode="0.000_);[Red]\(0.000\)"/>
    <numFmt numFmtId="181" formatCode="0.0_ "/>
    <numFmt numFmtId="182" formatCode="0.00_ ;[Red]\-0.00\ "/>
    <numFmt numFmtId="183" formatCode="0.0000_ "/>
    <numFmt numFmtId="184" formatCode="0_ "/>
    <numFmt numFmtId="185" formatCode="0.00000_ "/>
    <numFmt numFmtId="186" formatCode="0_);[Red]\(0\)"/>
    <numFmt numFmtId="187" formatCode="[DBNum2][$RMB]General;[Red][DBNum2][$RMB]General"/>
  </numFmts>
  <fonts count="87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0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sz val="12"/>
      <name val="仿宋"/>
      <charset val="134"/>
    </font>
    <font>
      <sz val="11"/>
      <color theme="1"/>
      <name val="仿宋"/>
      <charset val="134"/>
    </font>
    <font>
      <b/>
      <sz val="16"/>
      <name val="仿宋"/>
      <charset val="134"/>
    </font>
    <font>
      <b/>
      <sz val="10"/>
      <name val="仿宋"/>
      <charset val="134"/>
    </font>
    <font>
      <b/>
      <sz val="11"/>
      <color theme="1"/>
      <name val="仿宋"/>
      <charset val="134"/>
    </font>
    <font>
      <b/>
      <sz val="10"/>
      <color theme="1"/>
      <name val="仿宋"/>
      <charset val="134"/>
    </font>
    <font>
      <b/>
      <sz val="9"/>
      <color theme="1"/>
      <name val="仿宋"/>
      <charset val="134"/>
    </font>
    <font>
      <sz val="9"/>
      <color theme="1"/>
      <name val="仿宋"/>
      <charset val="134"/>
    </font>
    <font>
      <sz val="10"/>
      <color theme="1"/>
      <name val="仿宋"/>
      <charset val="134"/>
    </font>
    <font>
      <sz val="9"/>
      <color rgb="FFFF0000"/>
      <name val="仿宋"/>
      <charset val="134"/>
    </font>
    <font>
      <sz val="9"/>
      <name val="仿宋"/>
      <charset val="134"/>
    </font>
    <font>
      <sz val="8"/>
      <color theme="1"/>
      <name val="仿宋"/>
      <charset val="134"/>
    </font>
    <font>
      <sz val="8"/>
      <name val="仿宋"/>
      <charset val="134"/>
    </font>
    <font>
      <sz val="11"/>
      <name val="仿宋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name val="宋体"/>
      <charset val="134"/>
    </font>
    <font>
      <b/>
      <sz val="9"/>
      <color rgb="FF00000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8"/>
      <color theme="1"/>
      <name val="宋体"/>
      <charset val="134"/>
    </font>
    <font>
      <sz val="10"/>
      <color rgb="FFFF0000"/>
      <name val="宋体"/>
      <charset val="134"/>
    </font>
    <font>
      <sz val="14"/>
      <color indexed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b/>
      <sz val="18"/>
      <color theme="1"/>
      <name val="宋体"/>
      <charset val="134"/>
    </font>
    <font>
      <b/>
      <sz val="9"/>
      <color theme="1"/>
      <name val="宋体"/>
      <charset val="134"/>
    </font>
    <font>
      <b/>
      <sz val="7.5"/>
      <color theme="1"/>
      <name val="宋体"/>
      <charset val="134"/>
    </font>
    <font>
      <sz val="9"/>
      <color theme="1"/>
      <name val="宋体"/>
      <charset val="134"/>
    </font>
    <font>
      <sz val="8"/>
      <color indexed="8"/>
      <name val="宋体"/>
      <charset val="134"/>
    </font>
    <font>
      <sz val="9"/>
      <color rgb="FFFF0000"/>
      <name val="宋体"/>
      <charset val="134"/>
    </font>
    <font>
      <b/>
      <sz val="8"/>
      <color indexed="8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b/>
      <sz val="10"/>
      <color rgb="FF000000"/>
      <name val="宋体"/>
      <charset val="134"/>
    </font>
    <font>
      <b/>
      <sz val="20"/>
      <color theme="1"/>
      <name val="宋体"/>
      <charset val="134"/>
    </font>
    <font>
      <b/>
      <sz val="10"/>
      <color theme="1"/>
      <name val="宋体"/>
      <charset val="134"/>
    </font>
    <font>
      <b/>
      <sz val="8"/>
      <color theme="1"/>
      <name val="宋体"/>
      <charset val="134"/>
    </font>
    <font>
      <sz val="12"/>
      <color indexed="8"/>
      <name val="仿宋_GB2312"/>
      <charset val="134"/>
    </font>
    <font>
      <sz val="22"/>
      <color indexed="0"/>
      <name val="宋体"/>
      <charset val="134"/>
    </font>
    <font>
      <b/>
      <sz val="16"/>
      <color indexed="0"/>
      <name val="宋体"/>
      <charset val="134"/>
    </font>
    <font>
      <b/>
      <sz val="20"/>
      <color indexed="0"/>
      <name val="宋体"/>
      <charset val="134"/>
    </font>
    <font>
      <sz val="12"/>
      <color rgb="FF000000"/>
      <name val="仿宋_GB2312"/>
      <charset val="134"/>
    </font>
    <font>
      <sz val="12"/>
      <color indexed="0"/>
      <name val="仿宋_GB2312"/>
      <charset val="134"/>
    </font>
    <font>
      <sz val="12"/>
      <name val="仿宋_GB2312"/>
      <charset val="134"/>
    </font>
    <font>
      <sz val="12"/>
      <color indexed="0"/>
      <name val="宋体"/>
      <charset val="134"/>
    </font>
    <font>
      <sz val="11"/>
      <color indexed="0"/>
      <name val="宋体"/>
      <charset val="134"/>
    </font>
    <font>
      <sz val="12"/>
      <color rgb="FFFF0000"/>
      <name val="仿宋_GB2312"/>
      <charset val="134"/>
    </font>
    <font>
      <b/>
      <sz val="14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indexed="8"/>
      <name val="Arial"/>
      <charset val="134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0" fillId="9" borderId="31" applyNumberFormat="0" applyFont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32" applyNumberFormat="0" applyFill="0" applyAlignment="0" applyProtection="0">
      <alignment vertical="center"/>
    </xf>
    <xf numFmtId="0" fontId="72" fillId="0" borderId="32" applyNumberFormat="0" applyFill="0" applyAlignment="0" applyProtection="0">
      <alignment vertical="center"/>
    </xf>
    <xf numFmtId="0" fontId="73" fillId="0" borderId="33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10" borderId="34" applyNumberFormat="0" applyAlignment="0" applyProtection="0">
      <alignment vertical="center"/>
    </xf>
    <xf numFmtId="0" fontId="75" fillId="11" borderId="35" applyNumberFormat="0" applyAlignment="0" applyProtection="0">
      <alignment vertical="center"/>
    </xf>
    <xf numFmtId="0" fontId="76" fillId="11" borderId="34" applyNumberFormat="0" applyAlignment="0" applyProtection="0">
      <alignment vertical="center"/>
    </xf>
    <xf numFmtId="0" fontId="77" fillId="12" borderId="36" applyNumberFormat="0" applyAlignment="0" applyProtection="0">
      <alignment vertical="center"/>
    </xf>
    <xf numFmtId="0" fontId="78" fillId="0" borderId="37" applyNumberFormat="0" applyFill="0" applyAlignment="0" applyProtection="0">
      <alignment vertical="center"/>
    </xf>
    <xf numFmtId="0" fontId="79" fillId="0" borderId="38" applyNumberFormat="0" applyFill="0" applyAlignment="0" applyProtection="0">
      <alignment vertical="center"/>
    </xf>
    <xf numFmtId="0" fontId="80" fillId="13" borderId="0" applyNumberFormat="0" applyBorder="0" applyAlignment="0" applyProtection="0">
      <alignment vertical="center"/>
    </xf>
    <xf numFmtId="0" fontId="81" fillId="14" borderId="0" applyNumberFormat="0" applyBorder="0" applyAlignment="0" applyProtection="0">
      <alignment vertical="center"/>
    </xf>
    <xf numFmtId="0" fontId="82" fillId="15" borderId="0" applyNumberFormat="0" applyBorder="0" applyAlignment="0" applyProtection="0">
      <alignment vertical="center"/>
    </xf>
    <xf numFmtId="0" fontId="83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4" fillId="18" borderId="0" applyNumberFormat="0" applyBorder="0" applyAlignment="0" applyProtection="0">
      <alignment vertical="center"/>
    </xf>
    <xf numFmtId="0" fontId="83" fillId="19" borderId="0" applyNumberFormat="0" applyBorder="0" applyAlignment="0" applyProtection="0">
      <alignment vertical="center"/>
    </xf>
    <xf numFmtId="0" fontId="83" fillId="20" borderId="0" applyNumberFormat="0" applyBorder="0" applyAlignment="0" applyProtection="0">
      <alignment vertical="center"/>
    </xf>
    <xf numFmtId="0" fontId="84" fillId="21" borderId="0" applyNumberFormat="0" applyBorder="0" applyAlignment="0" applyProtection="0">
      <alignment vertical="center"/>
    </xf>
    <xf numFmtId="0" fontId="84" fillId="22" borderId="0" applyNumberFormat="0" applyBorder="0" applyAlignment="0" applyProtection="0">
      <alignment vertical="center"/>
    </xf>
    <xf numFmtId="0" fontId="83" fillId="23" borderId="0" applyNumberFormat="0" applyBorder="0" applyAlignment="0" applyProtection="0">
      <alignment vertical="center"/>
    </xf>
    <xf numFmtId="0" fontId="83" fillId="24" borderId="0" applyNumberFormat="0" applyBorder="0" applyAlignment="0" applyProtection="0">
      <alignment vertical="center"/>
    </xf>
    <xf numFmtId="0" fontId="84" fillId="25" borderId="0" applyNumberFormat="0" applyBorder="0" applyAlignment="0" applyProtection="0">
      <alignment vertical="center"/>
    </xf>
    <xf numFmtId="0" fontId="84" fillId="26" borderId="0" applyNumberFormat="0" applyBorder="0" applyAlignment="0" applyProtection="0">
      <alignment vertical="center"/>
    </xf>
    <xf numFmtId="0" fontId="83" fillId="27" borderId="0" applyNumberFormat="0" applyBorder="0" applyAlignment="0" applyProtection="0">
      <alignment vertical="center"/>
    </xf>
    <xf numFmtId="0" fontId="83" fillId="28" borderId="0" applyNumberFormat="0" applyBorder="0" applyAlignment="0" applyProtection="0">
      <alignment vertical="center"/>
    </xf>
    <xf numFmtId="0" fontId="84" fillId="29" borderId="0" applyNumberFormat="0" applyBorder="0" applyAlignment="0" applyProtection="0">
      <alignment vertical="center"/>
    </xf>
    <xf numFmtId="0" fontId="84" fillId="30" borderId="0" applyNumberFormat="0" applyBorder="0" applyAlignment="0" applyProtection="0">
      <alignment vertical="center"/>
    </xf>
    <xf numFmtId="0" fontId="83" fillId="31" borderId="0" applyNumberFormat="0" applyBorder="0" applyAlignment="0" applyProtection="0">
      <alignment vertical="center"/>
    </xf>
    <xf numFmtId="0" fontId="83" fillId="32" borderId="0" applyNumberFormat="0" applyBorder="0" applyAlignment="0" applyProtection="0">
      <alignment vertical="center"/>
    </xf>
    <xf numFmtId="0" fontId="84" fillId="33" borderId="0" applyNumberFormat="0" applyBorder="0" applyAlignment="0" applyProtection="0">
      <alignment vertical="center"/>
    </xf>
    <xf numFmtId="0" fontId="84" fillId="34" borderId="0" applyNumberFormat="0" applyBorder="0" applyAlignment="0" applyProtection="0">
      <alignment vertical="center"/>
    </xf>
    <xf numFmtId="0" fontId="83" fillId="35" borderId="0" applyNumberFormat="0" applyBorder="0" applyAlignment="0" applyProtection="0">
      <alignment vertical="center"/>
    </xf>
    <xf numFmtId="0" fontId="83" fillId="36" borderId="0" applyNumberFormat="0" applyBorder="0" applyAlignment="0" applyProtection="0">
      <alignment vertical="center"/>
    </xf>
    <xf numFmtId="0" fontId="84" fillId="37" borderId="0" applyNumberFormat="0" applyBorder="0" applyAlignment="0" applyProtection="0">
      <alignment vertical="center"/>
    </xf>
    <xf numFmtId="0" fontId="84" fillId="38" borderId="0" applyNumberFormat="0" applyBorder="0" applyAlignment="0" applyProtection="0">
      <alignment vertical="center"/>
    </xf>
    <xf numFmtId="0" fontId="83" fillId="39" borderId="0" applyNumberFormat="0" applyBorder="0" applyAlignment="0" applyProtection="0">
      <alignment vertical="center"/>
    </xf>
    <xf numFmtId="0" fontId="85" fillId="0" borderId="0"/>
    <xf numFmtId="0" fontId="85" fillId="0" borderId="0">
      <alignment vertical="center"/>
    </xf>
    <xf numFmtId="0" fontId="86" fillId="0" borderId="0"/>
    <xf numFmtId="0" fontId="85" fillId="0" borderId="0"/>
    <xf numFmtId="0" fontId="85" fillId="0" borderId="0">
      <alignment vertical="center"/>
    </xf>
    <xf numFmtId="0" fontId="85" fillId="0" borderId="0">
      <alignment vertical="center"/>
    </xf>
    <xf numFmtId="0" fontId="39" fillId="0" borderId="0"/>
  </cellStyleXfs>
  <cellXfs count="406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/>
    <xf numFmtId="10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177" fontId="1" fillId="0" borderId="0" xfId="3" applyNumberFormat="1" applyFont="1" applyFill="1" applyBorder="1" applyAlignment="1"/>
    <xf numFmtId="176" fontId="1" fillId="0" borderId="0" xfId="0" applyNumberFormat="1" applyFont="1" applyFill="1" applyBorder="1" applyAlignment="1"/>
    <xf numFmtId="178" fontId="1" fillId="0" borderId="0" xfId="0" applyNumberFormat="1" applyFont="1" applyFill="1" applyBorder="1" applyAlignment="1"/>
    <xf numFmtId="0" fontId="1" fillId="2" borderId="0" xfId="0" applyFont="1" applyFill="1" applyBorder="1" applyAlignment="1"/>
    <xf numFmtId="178" fontId="1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11" fillId="0" borderId="0" xfId="0" applyFont="1" applyFill="1" applyAlignment="1"/>
    <xf numFmtId="0" fontId="12" fillId="0" borderId="0" xfId="0" applyFont="1" applyFill="1" applyBorder="1" applyAlignment="1"/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179" fontId="18" fillId="0" borderId="1" xfId="0" applyNumberFormat="1" applyFont="1" applyFill="1" applyBorder="1" applyAlignment="1">
      <alignment horizontal="right" vertical="center"/>
    </xf>
    <xf numFmtId="179" fontId="18" fillId="0" borderId="6" xfId="0" applyNumberFormat="1" applyFont="1" applyFill="1" applyBorder="1" applyAlignment="1">
      <alignment horizontal="right" vertical="center"/>
    </xf>
    <xf numFmtId="0" fontId="20" fillId="0" borderId="5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right" vertical="center"/>
    </xf>
    <xf numFmtId="179" fontId="21" fillId="0" borderId="1" xfId="0" applyNumberFormat="1" applyFont="1" applyFill="1" applyBorder="1" applyAlignment="1">
      <alignment horizontal="right" vertical="center"/>
    </xf>
    <xf numFmtId="179" fontId="21" fillId="0" borderId="6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/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176" fontId="18" fillId="0" borderId="19" xfId="0" applyNumberFormat="1" applyFont="1" applyFill="1" applyBorder="1" applyAlignment="1">
      <alignment horizontal="right" vertical="center"/>
    </xf>
    <xf numFmtId="176" fontId="22" fillId="0" borderId="1" xfId="0" applyNumberFormat="1" applyFont="1" applyFill="1" applyBorder="1" applyAlignment="1">
      <alignment vertical="center"/>
    </xf>
    <xf numFmtId="176" fontId="18" fillId="0" borderId="1" xfId="0" applyNumberFormat="1" applyFont="1" applyFill="1" applyBorder="1" applyAlignment="1">
      <alignment vertical="center"/>
    </xf>
    <xf numFmtId="176" fontId="18" fillId="0" borderId="6" xfId="0" applyNumberFormat="1" applyFont="1" applyFill="1" applyBorder="1" applyAlignment="1">
      <alignment vertical="center"/>
    </xf>
    <xf numFmtId="176" fontId="18" fillId="0" borderId="5" xfId="0" applyNumberFormat="1" applyFont="1" applyFill="1" applyBorder="1" applyAlignment="1">
      <alignment horizontal="right" vertical="center"/>
    </xf>
    <xf numFmtId="179" fontId="21" fillId="0" borderId="1" xfId="0" applyNumberFormat="1" applyFont="1" applyFill="1" applyBorder="1" applyAlignment="1">
      <alignment vertical="center"/>
    </xf>
    <xf numFmtId="179" fontId="21" fillId="0" borderId="6" xfId="0" applyNumberFormat="1" applyFont="1" applyFill="1" applyBorder="1" applyAlignment="1">
      <alignment vertical="center"/>
    </xf>
    <xf numFmtId="176" fontId="18" fillId="0" borderId="20" xfId="0" applyNumberFormat="1" applyFont="1" applyFill="1" applyBorder="1" applyAlignment="1">
      <alignment horizontal="right" vertical="center"/>
    </xf>
    <xf numFmtId="176" fontId="22" fillId="0" borderId="21" xfId="0" applyNumberFormat="1" applyFont="1" applyFill="1" applyBorder="1" applyAlignment="1">
      <alignment vertical="center"/>
    </xf>
    <xf numFmtId="179" fontId="21" fillId="0" borderId="21" xfId="0" applyNumberFormat="1" applyFont="1" applyFill="1" applyBorder="1" applyAlignment="1">
      <alignment vertical="center"/>
    </xf>
    <xf numFmtId="179" fontId="21" fillId="0" borderId="22" xfId="0" applyNumberFormat="1" applyFont="1" applyFill="1" applyBorder="1" applyAlignment="1">
      <alignment vertical="center"/>
    </xf>
    <xf numFmtId="176" fontId="18" fillId="0" borderId="23" xfId="0" applyNumberFormat="1" applyFont="1" applyFill="1" applyBorder="1" applyAlignment="1">
      <alignment horizontal="right" vertical="center"/>
    </xf>
    <xf numFmtId="176" fontId="21" fillId="0" borderId="24" xfId="0" applyNumberFormat="1" applyFont="1" applyFill="1" applyBorder="1" applyAlignment="1">
      <alignment horizontal="center" vertical="center"/>
    </xf>
    <xf numFmtId="176" fontId="21" fillId="0" borderId="8" xfId="0" applyNumberFormat="1" applyFont="1" applyFill="1" applyBorder="1" applyAlignment="1">
      <alignment vertical="center"/>
    </xf>
    <xf numFmtId="176" fontId="21" fillId="0" borderId="7" xfId="0" applyNumberFormat="1" applyFont="1" applyFill="1" applyBorder="1" applyAlignment="1">
      <alignment horizontal="center" vertical="center"/>
    </xf>
    <xf numFmtId="176" fontId="21" fillId="0" borderId="0" xfId="0" applyNumberFormat="1" applyFont="1" applyFill="1" applyBorder="1" applyAlignment="1">
      <alignment horizontal="center" vertical="center"/>
    </xf>
    <xf numFmtId="176" fontId="23" fillId="0" borderId="0" xfId="0" applyNumberFormat="1" applyFont="1" applyFill="1" applyBorder="1" applyAlignment="1">
      <alignment vertical="center"/>
    </xf>
    <xf numFmtId="179" fontId="21" fillId="0" borderId="0" xfId="0" applyNumberFormat="1" applyFont="1" applyFill="1" applyBorder="1" applyAlignment="1">
      <alignment vertical="center"/>
    </xf>
    <xf numFmtId="176" fontId="23" fillId="0" borderId="8" xfId="0" applyNumberFormat="1" applyFont="1" applyFill="1" applyBorder="1" applyAlignment="1">
      <alignment vertical="center"/>
    </xf>
    <xf numFmtId="179" fontId="21" fillId="0" borderId="9" xfId="0" applyNumberFormat="1" applyFont="1" applyFill="1" applyBorder="1" applyAlignment="1">
      <alignment vertical="center"/>
    </xf>
    <xf numFmtId="176" fontId="18" fillId="0" borderId="21" xfId="0" applyNumberFormat="1" applyFont="1" applyFill="1" applyBorder="1" applyAlignment="1">
      <alignment vertical="center"/>
    </xf>
    <xf numFmtId="176" fontId="21" fillId="0" borderId="0" xfId="0" applyNumberFormat="1" applyFont="1" applyFill="1" applyBorder="1" applyAlignment="1">
      <alignment vertical="center"/>
    </xf>
    <xf numFmtId="176" fontId="18" fillId="0" borderId="1" xfId="0" applyNumberFormat="1" applyFont="1" applyFill="1" applyBorder="1" applyAlignment="1">
      <alignment horizontal="right" vertical="center"/>
    </xf>
    <xf numFmtId="176" fontId="21" fillId="0" borderId="9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center"/>
    </xf>
    <xf numFmtId="176" fontId="24" fillId="0" borderId="1" xfId="0" applyNumberFormat="1" applyFont="1" applyFill="1" applyBorder="1" applyAlignment="1"/>
    <xf numFmtId="0" fontId="19" fillId="0" borderId="19" xfId="0" applyFont="1" applyFill="1" applyBorder="1" applyAlignment="1">
      <alignment horizontal="center" vertical="center" wrapText="1"/>
    </xf>
    <xf numFmtId="176" fontId="24" fillId="0" borderId="0" xfId="0" applyNumberFormat="1" applyFont="1" applyFill="1" applyBorder="1" applyAlignment="1"/>
    <xf numFmtId="176" fontId="23" fillId="0" borderId="9" xfId="0" applyNumberFormat="1" applyFont="1" applyFill="1" applyBorder="1" applyAlignment="1">
      <alignment vertical="center"/>
    </xf>
    <xf numFmtId="0" fontId="0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25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horizontal="right" vertical="center" wrapText="1"/>
    </xf>
    <xf numFmtId="180" fontId="27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176" fontId="31" fillId="0" borderId="1" xfId="53" applyNumberFormat="1" applyFont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176" fontId="32" fillId="0" borderId="1" xfId="0" applyNumberFormat="1" applyFont="1" applyFill="1" applyBorder="1" applyAlignment="1">
      <alignment horizontal="center" vertical="center" wrapText="1"/>
    </xf>
    <xf numFmtId="180" fontId="32" fillId="0" borderId="1" xfId="0" applyNumberFormat="1" applyFont="1" applyFill="1" applyBorder="1" applyAlignment="1">
      <alignment horizontal="center" vertical="center" wrapText="1"/>
    </xf>
    <xf numFmtId="0" fontId="30" fillId="4" borderId="1" xfId="0" applyFont="1" applyFill="1" applyBorder="1" applyAlignment="1">
      <alignment horizontal="center" vertical="center" wrapText="1"/>
    </xf>
    <xf numFmtId="176" fontId="31" fillId="4" borderId="1" xfId="53" applyNumberFormat="1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left" vertical="center" wrapText="1"/>
    </xf>
    <xf numFmtId="176" fontId="32" fillId="4" borderId="1" xfId="0" applyNumberFormat="1" applyFont="1" applyFill="1" applyBorder="1" applyAlignment="1">
      <alignment horizontal="right" vertical="center"/>
    </xf>
    <xf numFmtId="180" fontId="32" fillId="4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left" vertical="center" wrapText="1"/>
    </xf>
    <xf numFmtId="176" fontId="32" fillId="0" borderId="1" xfId="0" applyNumberFormat="1" applyFont="1" applyFill="1" applyBorder="1" applyAlignment="1">
      <alignment vertical="center"/>
    </xf>
    <xf numFmtId="180" fontId="32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176" fontId="7" fillId="0" borderId="0" xfId="0" applyNumberFormat="1" applyFont="1" applyFill="1">
      <alignment vertical="center"/>
    </xf>
    <xf numFmtId="179" fontId="9" fillId="0" borderId="1" xfId="0" applyNumberFormat="1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left" vertical="center"/>
    </xf>
    <xf numFmtId="180" fontId="33" fillId="0" borderId="1" xfId="0" applyNumberFormat="1" applyFont="1" applyFill="1" applyBorder="1" applyAlignment="1">
      <alignment vertical="center" wrapText="1"/>
    </xf>
    <xf numFmtId="176" fontId="25" fillId="0" borderId="1" xfId="0" applyNumberFormat="1" applyFont="1" applyFill="1" applyBorder="1" applyAlignment="1">
      <alignment horizontal="left" vertical="center" wrapText="1"/>
    </xf>
    <xf numFmtId="180" fontId="34" fillId="0" borderId="1" xfId="0" applyNumberFormat="1" applyFont="1" applyFill="1" applyBorder="1" applyAlignment="1">
      <alignment vertical="center" wrapText="1"/>
    </xf>
    <xf numFmtId="180" fontId="9" fillId="0" borderId="1" xfId="0" applyNumberFormat="1" applyFont="1" applyFill="1" applyBorder="1" applyAlignment="1">
      <alignment vertical="center" wrapText="1"/>
    </xf>
    <xf numFmtId="179" fontId="32" fillId="0" borderId="1" xfId="0" applyNumberFormat="1" applyFont="1" applyFill="1" applyBorder="1" applyAlignment="1">
      <alignment vertical="center"/>
    </xf>
    <xf numFmtId="179" fontId="7" fillId="0" borderId="0" xfId="0" applyNumberFormat="1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21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left" vertical="center" wrapText="1"/>
    </xf>
    <xf numFmtId="179" fontId="9" fillId="0" borderId="1" xfId="0" applyNumberFormat="1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left" vertical="center" wrapText="1"/>
    </xf>
    <xf numFmtId="176" fontId="32" fillId="4" borderId="1" xfId="0" applyNumberFormat="1" applyFont="1" applyFill="1" applyBorder="1" applyAlignment="1">
      <alignment vertical="center"/>
    </xf>
    <xf numFmtId="180" fontId="32" fillId="4" borderId="1" xfId="0" applyNumberFormat="1" applyFont="1" applyFill="1" applyBorder="1" applyAlignment="1">
      <alignment vertical="center" wrapText="1"/>
    </xf>
    <xf numFmtId="181" fontId="0" fillId="0" borderId="0" xfId="0" applyNumberFormat="1" applyFont="1" applyFill="1">
      <alignment vertical="center"/>
    </xf>
    <xf numFmtId="176" fontId="0" fillId="0" borderId="0" xfId="0" applyNumberFormat="1" applyFont="1" applyFill="1">
      <alignment vertical="center"/>
    </xf>
    <xf numFmtId="0" fontId="5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/>
    <xf numFmtId="0" fontId="36" fillId="0" borderId="0" xfId="0" applyFont="1" applyFill="1" applyBorder="1" applyAlignment="1"/>
    <xf numFmtId="0" fontId="36" fillId="0" borderId="0" xfId="0" applyFont="1" applyFill="1" applyAlignment="1"/>
    <xf numFmtId="0" fontId="37" fillId="0" borderId="0" xfId="0" applyFont="1" applyFill="1" applyAlignment="1"/>
    <xf numFmtId="0" fontId="36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38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horizontal="right"/>
    </xf>
    <xf numFmtId="0" fontId="32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Border="1" applyAlignment="1">
      <alignment horizontal="right" vertical="center"/>
    </xf>
    <xf numFmtId="182" fontId="32" fillId="0" borderId="0" xfId="0" applyNumberFormat="1" applyFont="1" applyFill="1" applyBorder="1" applyAlignment="1">
      <alignment horizontal="right"/>
    </xf>
    <xf numFmtId="180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176" fontId="5" fillId="0" borderId="0" xfId="0" applyNumberFormat="1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right" vertical="center" wrapText="1"/>
    </xf>
    <xf numFmtId="0" fontId="42" fillId="0" borderId="0" xfId="0" applyNumberFormat="1" applyFont="1" applyFill="1" applyBorder="1" applyAlignment="1">
      <alignment horizontal="right" vertical="center" wrapText="1"/>
    </xf>
    <xf numFmtId="176" fontId="42" fillId="0" borderId="0" xfId="0" applyNumberFormat="1" applyFont="1" applyFill="1" applyBorder="1" applyAlignment="1">
      <alignment horizontal="right" vertical="center" wrapText="1"/>
    </xf>
    <xf numFmtId="0" fontId="29" fillId="0" borderId="0" xfId="0" applyFont="1" applyFill="1" applyAlignment="1">
      <alignment horizontal="right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 wrapText="1"/>
    </xf>
    <xf numFmtId="0" fontId="37" fillId="0" borderId="27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49" fontId="37" fillId="0" borderId="26" xfId="0" applyNumberFormat="1" applyFont="1" applyFill="1" applyBorder="1" applyAlignment="1">
      <alignment horizontal="center" vertical="center" wrapText="1"/>
    </xf>
    <xf numFmtId="0" fontId="37" fillId="0" borderId="26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49" fontId="37" fillId="5" borderId="26" xfId="0" applyNumberFormat="1" applyFont="1" applyFill="1" applyBorder="1" applyAlignment="1">
      <alignment horizontal="center" vertical="center" wrapText="1"/>
    </xf>
    <xf numFmtId="0" fontId="37" fillId="5" borderId="1" xfId="0" applyFont="1" applyFill="1" applyBorder="1" applyAlignment="1">
      <alignment horizontal="center" vertical="center" wrapText="1"/>
    </xf>
    <xf numFmtId="0" fontId="37" fillId="5" borderId="26" xfId="0" applyFont="1" applyFill="1" applyBorder="1" applyAlignment="1">
      <alignment horizontal="center" vertical="center" wrapText="1"/>
    </xf>
    <xf numFmtId="0" fontId="43" fillId="5" borderId="1" xfId="0" applyFont="1" applyFill="1" applyBorder="1" applyAlignment="1">
      <alignment horizontal="center" vertical="center" wrapText="1"/>
    </xf>
    <xf numFmtId="0" fontId="43" fillId="5" borderId="1" xfId="0" applyNumberFormat="1" applyFont="1" applyFill="1" applyBorder="1" applyAlignment="1">
      <alignment horizontal="center" vertical="center" wrapText="1"/>
    </xf>
    <xf numFmtId="176" fontId="43" fillId="5" borderId="1" xfId="0" applyNumberFormat="1" applyFont="1" applyFill="1" applyBorder="1" applyAlignment="1">
      <alignment horizontal="center" vertical="center" wrapText="1"/>
    </xf>
    <xf numFmtId="182" fontId="44" fillId="5" borderId="1" xfId="0" applyNumberFormat="1" applyFont="1" applyFill="1" applyBorder="1" applyAlignment="1">
      <alignment horizontal="center" vertical="center" wrapText="1"/>
    </xf>
    <xf numFmtId="0" fontId="37" fillId="5" borderId="1" xfId="0" applyFont="1" applyFill="1" applyBorder="1" applyAlignment="1" applyProtection="1">
      <alignment horizontal="left" vertical="center" wrapText="1"/>
    </xf>
    <xf numFmtId="0" fontId="37" fillId="5" borderId="1" xfId="0" applyFont="1" applyFill="1" applyBorder="1" applyAlignment="1" applyProtection="1">
      <alignment horizontal="center" vertical="center" wrapText="1"/>
    </xf>
    <xf numFmtId="0" fontId="37" fillId="5" borderId="1" xfId="0" applyFont="1" applyFill="1" applyBorder="1" applyAlignment="1">
      <alignment horizontal="center" vertical="center"/>
    </xf>
    <xf numFmtId="0" fontId="37" fillId="5" borderId="1" xfId="0" applyNumberFormat="1" applyFont="1" applyFill="1" applyBorder="1" applyAlignment="1">
      <alignment horizontal="center" vertical="center" wrapText="1"/>
    </xf>
    <xf numFmtId="176" fontId="43" fillId="5" borderId="1" xfId="0" applyNumberFormat="1" applyFont="1" applyFill="1" applyBorder="1" applyAlignment="1">
      <alignment horizontal="right" vertical="center" wrapText="1"/>
    </xf>
    <xf numFmtId="182" fontId="43" fillId="5" borderId="1" xfId="0" applyNumberFormat="1" applyFont="1" applyFill="1" applyBorder="1" applyAlignment="1">
      <alignment horizontal="right" vertical="center" wrapText="1"/>
    </xf>
    <xf numFmtId="0" fontId="36" fillId="6" borderId="1" xfId="0" applyFont="1" applyFill="1" applyBorder="1" applyAlignment="1">
      <alignment horizontal="center" vertical="center" wrapText="1"/>
    </xf>
    <xf numFmtId="0" fontId="36" fillId="6" borderId="1" xfId="0" applyFont="1" applyFill="1" applyBorder="1" applyAlignment="1" applyProtection="1">
      <alignment horizontal="left" vertical="center" wrapText="1"/>
    </xf>
    <xf numFmtId="0" fontId="36" fillId="6" borderId="1" xfId="0" applyFont="1" applyFill="1" applyBorder="1" applyAlignment="1" applyProtection="1">
      <alignment horizontal="center" vertical="center" wrapText="1"/>
    </xf>
    <xf numFmtId="0" fontId="36" fillId="6" borderId="1" xfId="0" applyFont="1" applyFill="1" applyBorder="1" applyAlignment="1">
      <alignment horizontal="center" vertical="center"/>
    </xf>
    <xf numFmtId="0" fontId="36" fillId="6" borderId="1" xfId="0" applyNumberFormat="1" applyFont="1" applyFill="1" applyBorder="1" applyAlignment="1">
      <alignment horizontal="center" vertical="center" wrapText="1"/>
    </xf>
    <xf numFmtId="176" fontId="45" fillId="6" borderId="1" xfId="0" applyNumberFormat="1" applyFont="1" applyFill="1" applyBorder="1" applyAlignment="1">
      <alignment horizontal="right" vertical="center" wrapText="1"/>
    </xf>
    <xf numFmtId="182" fontId="45" fillId="6" borderId="1" xfId="0" applyNumberFormat="1" applyFont="1" applyFill="1" applyBorder="1" applyAlignment="1">
      <alignment horizontal="right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 applyProtection="1">
      <alignment horizontal="left" vertical="center" wrapText="1"/>
    </xf>
    <xf numFmtId="0" fontId="36" fillId="0" borderId="1" xfId="0" applyFont="1" applyFill="1" applyBorder="1" applyAlignment="1" applyProtection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6" fillId="0" borderId="1" xfId="0" applyNumberFormat="1" applyFont="1" applyFill="1" applyBorder="1" applyAlignment="1">
      <alignment horizontal="center" vertical="center" wrapText="1"/>
    </xf>
    <xf numFmtId="176" fontId="45" fillId="0" borderId="1" xfId="0" applyNumberFormat="1" applyFont="1" applyFill="1" applyBorder="1" applyAlignment="1">
      <alignment horizontal="right" vertical="center" wrapText="1"/>
    </xf>
    <xf numFmtId="182" fontId="45" fillId="0" borderId="1" xfId="0" applyNumberFormat="1" applyFont="1" applyFill="1" applyBorder="1" applyAlignment="1">
      <alignment horizontal="right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>
      <alignment horizontal="center" vertical="center" wrapText="1"/>
    </xf>
    <xf numFmtId="0" fontId="36" fillId="0" borderId="26" xfId="0" applyFont="1" applyFill="1" applyBorder="1" applyAlignment="1">
      <alignment horizontal="center" vertical="center" wrapText="1"/>
    </xf>
    <xf numFmtId="176" fontId="36" fillId="0" borderId="1" xfId="0" applyNumberFormat="1" applyFont="1" applyFill="1" applyBorder="1" applyAlignment="1">
      <alignment horizontal="center" vertical="center" wrapText="1"/>
    </xf>
    <xf numFmtId="176" fontId="37" fillId="6" borderId="1" xfId="0" applyNumberFormat="1" applyFont="1" applyFill="1" applyBorder="1" applyAlignment="1" applyProtection="1">
      <alignment horizontal="right" vertical="center" wrapText="1"/>
    </xf>
    <xf numFmtId="0" fontId="37" fillId="6" borderId="1" xfId="0" applyNumberFormat="1" applyFont="1" applyFill="1" applyBorder="1" applyAlignment="1">
      <alignment horizontal="right" vertical="center" wrapText="1"/>
    </xf>
    <xf numFmtId="180" fontId="41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176" fontId="5" fillId="0" borderId="0" xfId="0" applyNumberFormat="1" applyFont="1" applyFill="1" applyBorder="1" applyAlignment="1"/>
    <xf numFmtId="180" fontId="37" fillId="0" borderId="1" xfId="0" applyNumberFormat="1" applyFont="1" applyFill="1" applyBorder="1" applyAlignment="1">
      <alignment horizontal="center" vertical="center" wrapText="1"/>
    </xf>
    <xf numFmtId="180" fontId="37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5" fillId="0" borderId="0" xfId="0" applyNumberFormat="1" applyFont="1" applyFill="1" applyAlignment="1"/>
    <xf numFmtId="180" fontId="37" fillId="5" borderId="1" xfId="0" applyNumberFormat="1" applyFont="1" applyFill="1" applyBorder="1" applyAlignment="1">
      <alignment horizontal="right" wrapText="1"/>
    </xf>
    <xf numFmtId="180" fontId="36" fillId="6" borderId="1" xfId="0" applyNumberFormat="1" applyFont="1" applyFill="1" applyBorder="1" applyAlignment="1">
      <alignment horizontal="right" wrapText="1"/>
    </xf>
    <xf numFmtId="180" fontId="36" fillId="0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center"/>
    </xf>
    <xf numFmtId="176" fontId="5" fillId="2" borderId="0" xfId="0" applyNumberFormat="1" applyFont="1" applyFill="1" applyBorder="1" applyAlignment="1">
      <alignment horizontal="center"/>
    </xf>
    <xf numFmtId="180" fontId="46" fillId="0" borderId="1" xfId="0" applyNumberFormat="1" applyFont="1" applyFill="1" applyBorder="1" applyAlignment="1">
      <alignment horizontal="center" vertical="center" wrapText="1"/>
    </xf>
    <xf numFmtId="180" fontId="36" fillId="0" borderId="1" xfId="0" applyNumberFormat="1" applyFont="1" applyFill="1" applyBorder="1" applyAlignment="1">
      <alignment vertical="center" wrapText="1"/>
    </xf>
    <xf numFmtId="180" fontId="36" fillId="0" borderId="21" xfId="0" applyNumberFormat="1" applyFont="1" applyFill="1" applyBorder="1" applyAlignment="1">
      <alignment horizontal="center" vertical="center" wrapText="1"/>
    </xf>
    <xf numFmtId="180" fontId="36" fillId="0" borderId="26" xfId="0" applyNumberFormat="1" applyFont="1" applyFill="1" applyBorder="1" applyAlignment="1">
      <alignment vertical="center" wrapText="1"/>
    </xf>
    <xf numFmtId="180" fontId="36" fillId="6" borderId="1" xfId="0" applyNumberFormat="1" applyFont="1" applyFill="1" applyBorder="1" applyAlignment="1">
      <alignment horizontal="center" vertical="center" wrapText="1"/>
    </xf>
    <xf numFmtId="0" fontId="34" fillId="2" borderId="0" xfId="0" applyFont="1" applyFill="1" applyAlignment="1">
      <alignment vertical="center"/>
    </xf>
    <xf numFmtId="180" fontId="36" fillId="0" borderId="1" xfId="0" applyNumberFormat="1" applyFont="1" applyFill="1" applyBorder="1" applyAlignment="1">
      <alignment horizontal="center" vertical="center" wrapText="1"/>
    </xf>
    <xf numFmtId="180" fontId="36" fillId="0" borderId="26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 applyProtection="1">
      <alignment horizontal="left" vertical="center" wrapText="1"/>
    </xf>
    <xf numFmtId="0" fontId="47" fillId="0" borderId="1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NumberFormat="1" applyFont="1" applyFill="1" applyBorder="1" applyAlignment="1">
      <alignment horizontal="center" vertical="center" wrapText="1"/>
    </xf>
    <xf numFmtId="176" fontId="47" fillId="0" borderId="1" xfId="0" applyNumberFormat="1" applyFont="1" applyFill="1" applyBorder="1" applyAlignment="1">
      <alignment horizontal="right" vertical="center" wrapText="1"/>
    </xf>
    <xf numFmtId="182" fontId="47" fillId="0" borderId="1" xfId="0" applyNumberFormat="1" applyFont="1" applyFill="1" applyBorder="1" applyAlignment="1">
      <alignment horizontal="right" vertical="center" wrapText="1"/>
    </xf>
    <xf numFmtId="180" fontId="48" fillId="5" borderId="1" xfId="0" applyNumberFormat="1" applyFont="1" applyFill="1" applyBorder="1" applyAlignment="1">
      <alignment horizontal="center" vertical="center" wrapText="1"/>
    </xf>
    <xf numFmtId="0" fontId="36" fillId="5" borderId="1" xfId="0" applyFont="1" applyFill="1" applyBorder="1" applyAlignment="1">
      <alignment horizontal="center" vertical="center" wrapText="1"/>
    </xf>
    <xf numFmtId="0" fontId="36" fillId="5" borderId="1" xfId="0" applyFont="1" applyFill="1" applyBorder="1" applyAlignment="1" applyProtection="1">
      <alignment horizontal="left" vertical="center" wrapText="1"/>
    </xf>
    <xf numFmtId="0" fontId="36" fillId="5" borderId="1" xfId="0" applyFont="1" applyFill="1" applyBorder="1" applyAlignment="1" applyProtection="1">
      <alignment horizontal="center" vertical="center" wrapText="1"/>
    </xf>
    <xf numFmtId="0" fontId="36" fillId="5" borderId="1" xfId="0" applyFont="1" applyFill="1" applyBorder="1" applyAlignment="1">
      <alignment horizontal="center" vertical="center"/>
    </xf>
    <xf numFmtId="0" fontId="36" fillId="5" borderId="1" xfId="0" applyNumberFormat="1" applyFont="1" applyFill="1" applyBorder="1" applyAlignment="1">
      <alignment horizontal="center" vertical="center" wrapText="1"/>
    </xf>
    <xf numFmtId="176" fontId="45" fillId="5" borderId="1" xfId="0" applyNumberFormat="1" applyFont="1" applyFill="1" applyBorder="1" applyAlignment="1">
      <alignment horizontal="right" vertical="center" wrapText="1"/>
    </xf>
    <xf numFmtId="182" fontId="45" fillId="5" borderId="1" xfId="0" applyNumberFormat="1" applyFont="1" applyFill="1" applyBorder="1" applyAlignment="1">
      <alignment horizontal="right" vertical="center" wrapText="1"/>
    </xf>
    <xf numFmtId="176" fontId="5" fillId="0" borderId="0" xfId="0" applyNumberFormat="1" applyFont="1" applyFill="1" applyAlignment="1">
      <alignment horizontal="center"/>
    </xf>
    <xf numFmtId="180" fontId="36" fillId="5" borderId="1" xfId="0" applyNumberFormat="1" applyFont="1" applyFill="1" applyBorder="1" applyAlignment="1">
      <alignment horizontal="right" wrapText="1"/>
    </xf>
    <xf numFmtId="0" fontId="39" fillId="0" borderId="0" xfId="0" applyFont="1" applyFill="1" applyBorder="1" applyAlignment="1"/>
    <xf numFmtId="176" fontId="5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horizontal="left" vertical="center" wrapText="1"/>
    </xf>
    <xf numFmtId="0" fontId="50" fillId="0" borderId="0" xfId="0" applyFont="1" applyFill="1" applyBorder="1" applyAlignment="1">
      <alignment horizontal="center" vertical="center" wrapText="1"/>
    </xf>
    <xf numFmtId="176" fontId="50" fillId="0" borderId="0" xfId="0" applyNumberFormat="1" applyFont="1" applyFill="1" applyBorder="1" applyAlignment="1">
      <alignment horizontal="right" vertical="center" wrapText="1"/>
    </xf>
    <xf numFmtId="0" fontId="51" fillId="0" borderId="0" xfId="0" applyFont="1" applyFill="1" applyAlignment="1">
      <alignment horizontal="left" vertical="center" wrapText="1"/>
    </xf>
    <xf numFmtId="0" fontId="51" fillId="0" borderId="0" xfId="0" applyFont="1" applyFill="1" applyAlignment="1">
      <alignment horizontal="right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176" fontId="37" fillId="0" borderId="1" xfId="0" applyNumberFormat="1" applyFont="1" applyFill="1" applyBorder="1" applyAlignment="1">
      <alignment horizontal="center" vertical="center"/>
    </xf>
    <xf numFmtId="176" fontId="37" fillId="0" borderId="1" xfId="0" applyNumberFormat="1" applyFont="1" applyFill="1" applyBorder="1" applyAlignment="1">
      <alignment horizontal="center" vertical="center" wrapText="1"/>
    </xf>
    <xf numFmtId="49" fontId="37" fillId="4" borderId="1" xfId="0" applyNumberFormat="1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center" vertical="center" wrapText="1"/>
    </xf>
    <xf numFmtId="176" fontId="37" fillId="4" borderId="1" xfId="0" applyNumberFormat="1" applyFont="1" applyFill="1" applyBorder="1" applyAlignment="1" applyProtection="1">
      <alignment horizontal="right" vertical="center" wrapText="1"/>
    </xf>
    <xf numFmtId="0" fontId="37" fillId="7" borderId="1" xfId="0" applyFont="1" applyFill="1" applyBorder="1" applyAlignment="1">
      <alignment horizontal="center" vertical="center" wrapText="1"/>
    </xf>
    <xf numFmtId="0" fontId="37" fillId="7" borderId="1" xfId="0" applyFont="1" applyFill="1" applyBorder="1" applyAlignment="1">
      <alignment vertical="center" wrapText="1"/>
    </xf>
    <xf numFmtId="0" fontId="37" fillId="7" borderId="1" xfId="0" applyFont="1" applyFill="1" applyBorder="1" applyAlignment="1" applyProtection="1">
      <alignment horizontal="center" vertical="center" wrapText="1"/>
    </xf>
    <xf numFmtId="176" fontId="37" fillId="7" borderId="1" xfId="0" applyNumberFormat="1" applyFont="1" applyFill="1" applyBorder="1" applyAlignment="1" applyProtection="1">
      <alignment horizontal="right" vertical="center" wrapText="1"/>
    </xf>
    <xf numFmtId="0" fontId="37" fillId="8" borderId="1" xfId="0" applyFont="1" applyFill="1" applyBorder="1" applyAlignment="1">
      <alignment horizontal="center" vertical="center" wrapText="1"/>
    </xf>
    <xf numFmtId="0" fontId="37" fillId="8" borderId="1" xfId="0" applyFont="1" applyFill="1" applyBorder="1" applyAlignment="1">
      <alignment vertical="center" wrapText="1"/>
    </xf>
    <xf numFmtId="0" fontId="37" fillId="8" borderId="1" xfId="0" applyFont="1" applyFill="1" applyBorder="1" applyAlignment="1" applyProtection="1">
      <alignment horizontal="center" vertical="center" wrapText="1"/>
    </xf>
    <xf numFmtId="176" fontId="37" fillId="8" borderId="1" xfId="0" applyNumberFormat="1" applyFont="1" applyFill="1" applyBorder="1" applyAlignment="1" applyProtection="1">
      <alignment horizontal="right" vertical="center" wrapText="1"/>
    </xf>
    <xf numFmtId="0" fontId="36" fillId="0" borderId="1" xfId="0" applyFont="1" applyFill="1" applyBorder="1" applyAlignment="1">
      <alignment vertical="center" wrapText="1"/>
    </xf>
    <xf numFmtId="176" fontId="36" fillId="0" borderId="1" xfId="0" applyNumberFormat="1" applyFont="1" applyFill="1" applyBorder="1" applyAlignment="1" applyProtection="1">
      <alignment horizontal="right" vertical="center" wrapText="1"/>
    </xf>
    <xf numFmtId="176" fontId="36" fillId="0" borderId="1" xfId="0" applyNumberFormat="1" applyFont="1" applyFill="1" applyBorder="1" applyAlignment="1">
      <alignment horizontal="right" vertical="center" wrapText="1"/>
    </xf>
    <xf numFmtId="176" fontId="37" fillId="8" borderId="1" xfId="0" applyNumberFormat="1" applyFont="1" applyFill="1" applyBorder="1" applyAlignment="1">
      <alignment horizontal="right" vertical="center" wrapText="1"/>
    </xf>
    <xf numFmtId="176" fontId="52" fillId="0" borderId="0" xfId="0" applyNumberFormat="1" applyFont="1" applyFill="1" applyBorder="1" applyAlignment="1">
      <alignment horizontal="right" vertical="center" wrapText="1"/>
    </xf>
    <xf numFmtId="176" fontId="53" fillId="0" borderId="0" xfId="0" applyNumberFormat="1" applyFont="1" applyFill="1" applyAlignment="1">
      <alignment horizontal="right" vertical="center" wrapText="1"/>
    </xf>
    <xf numFmtId="176" fontId="43" fillId="0" borderId="1" xfId="0" applyNumberFormat="1" applyFont="1" applyFill="1" applyBorder="1" applyAlignment="1">
      <alignment horizontal="center" vertical="center"/>
    </xf>
    <xf numFmtId="176" fontId="43" fillId="0" borderId="1" xfId="0" applyNumberFormat="1" applyFont="1" applyFill="1" applyBorder="1" applyAlignment="1">
      <alignment horizontal="center" vertical="center" wrapText="1"/>
    </xf>
    <xf numFmtId="176" fontId="37" fillId="4" borderId="1" xfId="0" applyNumberFormat="1" applyFont="1" applyFill="1" applyBorder="1" applyAlignment="1">
      <alignment horizontal="right" vertical="center" wrapText="1"/>
    </xf>
    <xf numFmtId="176" fontId="43" fillId="4" borderId="1" xfId="0" applyNumberFormat="1" applyFont="1" applyFill="1" applyBorder="1" applyAlignment="1">
      <alignment horizontal="right" vertical="center"/>
    </xf>
    <xf numFmtId="176" fontId="43" fillId="4" borderId="1" xfId="0" applyNumberFormat="1" applyFont="1" applyFill="1" applyBorder="1" applyAlignment="1">
      <alignment horizontal="right" vertical="center" wrapText="1"/>
    </xf>
    <xf numFmtId="176" fontId="37" fillId="7" borderId="1" xfId="0" applyNumberFormat="1" applyFont="1" applyFill="1" applyBorder="1" applyAlignment="1">
      <alignment horizontal="right" vertical="center" wrapText="1"/>
    </xf>
    <xf numFmtId="176" fontId="43" fillId="7" borderId="1" xfId="0" applyNumberFormat="1" applyFont="1" applyFill="1" applyBorder="1" applyAlignment="1">
      <alignment horizontal="right" vertical="center"/>
    </xf>
    <xf numFmtId="176" fontId="43" fillId="7" borderId="1" xfId="0" applyNumberFormat="1" applyFont="1" applyFill="1" applyBorder="1" applyAlignment="1">
      <alignment horizontal="right" vertical="center" wrapText="1"/>
    </xf>
    <xf numFmtId="176" fontId="43" fillId="8" borderId="1" xfId="0" applyNumberFormat="1" applyFont="1" applyFill="1" applyBorder="1" applyAlignment="1">
      <alignment horizontal="right" vertical="center"/>
    </xf>
    <xf numFmtId="176" fontId="43" fillId="8" borderId="1" xfId="0" applyNumberFormat="1" applyFont="1" applyFill="1" applyBorder="1" applyAlignment="1">
      <alignment horizontal="right" vertical="center" wrapText="1"/>
    </xf>
    <xf numFmtId="176" fontId="45" fillId="0" borderId="1" xfId="0" applyNumberFormat="1" applyFont="1" applyFill="1" applyBorder="1" applyAlignment="1">
      <alignment horizontal="right" vertical="center"/>
    </xf>
    <xf numFmtId="176" fontId="36" fillId="0" borderId="1" xfId="0" applyNumberFormat="1" applyFont="1" applyFill="1" applyBorder="1" applyAlignment="1" applyProtection="1">
      <alignment horizontal="center" vertical="center" wrapText="1"/>
    </xf>
    <xf numFmtId="176" fontId="54" fillId="0" borderId="0" xfId="0" applyNumberFormat="1" applyFont="1" applyFill="1" applyBorder="1" applyAlignment="1">
      <alignment horizontal="left" vertical="center" wrapText="1"/>
    </xf>
    <xf numFmtId="176" fontId="54" fillId="0" borderId="0" xfId="0" applyNumberFormat="1" applyFont="1" applyFill="1" applyAlignment="1">
      <alignment horizontal="left" vertical="center" wrapText="1"/>
    </xf>
    <xf numFmtId="176" fontId="43" fillId="0" borderId="21" xfId="0" applyNumberFormat="1" applyFont="1" applyFill="1" applyBorder="1" applyAlignment="1">
      <alignment horizontal="center" vertical="center" wrapText="1"/>
    </xf>
    <xf numFmtId="176" fontId="43" fillId="0" borderId="25" xfId="0" applyNumberFormat="1" applyFont="1" applyFill="1" applyBorder="1" applyAlignment="1">
      <alignment horizontal="center" vertical="center" wrapText="1"/>
    </xf>
    <xf numFmtId="176" fontId="43" fillId="0" borderId="1" xfId="0" applyNumberFormat="1" applyFont="1" applyFill="1" applyBorder="1" applyAlignment="1" applyProtection="1">
      <alignment horizontal="center" vertical="center" wrapText="1"/>
    </xf>
    <xf numFmtId="176" fontId="43" fillId="0" borderId="26" xfId="0" applyNumberFormat="1" applyFont="1" applyFill="1" applyBorder="1" applyAlignment="1">
      <alignment horizontal="center" vertical="center" wrapText="1"/>
    </xf>
    <xf numFmtId="176" fontId="43" fillId="4" borderId="1" xfId="0" applyNumberFormat="1" applyFont="1" applyFill="1" applyBorder="1" applyAlignment="1" applyProtection="1">
      <alignment horizontal="right" vertical="center" wrapText="1"/>
    </xf>
    <xf numFmtId="176" fontId="54" fillId="4" borderId="1" xfId="0" applyNumberFormat="1" applyFont="1" applyFill="1" applyBorder="1" applyAlignment="1">
      <alignment horizontal="left" vertical="center" wrapText="1"/>
    </xf>
    <xf numFmtId="176" fontId="43" fillId="7" borderId="1" xfId="0" applyNumberFormat="1" applyFont="1" applyFill="1" applyBorder="1" applyAlignment="1" applyProtection="1">
      <alignment horizontal="right" vertical="center" wrapText="1"/>
    </xf>
    <xf numFmtId="176" fontId="54" fillId="7" borderId="1" xfId="0" applyNumberFormat="1" applyFont="1" applyFill="1" applyBorder="1" applyAlignment="1">
      <alignment horizontal="left" vertical="center" wrapText="1"/>
    </xf>
    <xf numFmtId="176" fontId="43" fillId="8" borderId="1" xfId="0" applyNumberFormat="1" applyFont="1" applyFill="1" applyBorder="1" applyAlignment="1" applyProtection="1">
      <alignment horizontal="right" vertical="center" wrapText="1"/>
    </xf>
    <xf numFmtId="176" fontId="54" fillId="8" borderId="1" xfId="0" applyNumberFormat="1" applyFont="1" applyFill="1" applyBorder="1" applyAlignment="1">
      <alignment horizontal="left" vertical="center" wrapText="1"/>
    </xf>
    <xf numFmtId="176" fontId="45" fillId="0" borderId="1" xfId="0" applyNumberFormat="1" applyFont="1" applyFill="1" applyBorder="1" applyAlignment="1" applyProtection="1">
      <alignment horizontal="right" vertical="center" wrapText="1"/>
    </xf>
    <xf numFmtId="176" fontId="33" fillId="0" borderId="1" xfId="0" applyNumberFormat="1" applyFont="1" applyFill="1" applyBorder="1" applyAlignment="1">
      <alignment horizontal="left" vertical="center" wrapText="1"/>
    </xf>
    <xf numFmtId="183" fontId="36" fillId="0" borderId="1" xfId="0" applyNumberFormat="1" applyFont="1" applyFill="1" applyBorder="1" applyAlignment="1" applyProtection="1">
      <alignment horizontal="right" vertical="center" wrapText="1"/>
    </xf>
    <xf numFmtId="0" fontId="37" fillId="4" borderId="1" xfId="0" applyFont="1" applyFill="1" applyBorder="1" applyAlignment="1">
      <alignment vertical="center" wrapText="1"/>
    </xf>
    <xf numFmtId="0" fontId="37" fillId="4" borderId="1" xfId="0" applyFont="1" applyFill="1" applyBorder="1" applyAlignment="1" applyProtection="1">
      <alignment horizontal="center" vertical="center" wrapText="1"/>
    </xf>
    <xf numFmtId="0" fontId="37" fillId="4" borderId="1" xfId="0" applyFont="1" applyFill="1" applyBorder="1" applyAlignment="1" applyProtection="1">
      <alignment horizontal="left" vertical="center" wrapText="1"/>
    </xf>
    <xf numFmtId="176" fontId="37" fillId="4" borderId="27" xfId="0" applyNumberFormat="1" applyFont="1" applyFill="1" applyBorder="1" applyAlignment="1" applyProtection="1">
      <alignment horizontal="right" vertical="center" wrapText="1"/>
    </xf>
    <xf numFmtId="176" fontId="37" fillId="4" borderId="28" xfId="0" applyNumberFormat="1" applyFont="1" applyFill="1" applyBorder="1" applyAlignment="1" applyProtection="1">
      <alignment horizontal="right" vertical="center" wrapText="1"/>
    </xf>
    <xf numFmtId="176" fontId="37" fillId="4" borderId="19" xfId="0" applyNumberFormat="1" applyFont="1" applyFill="1" applyBorder="1" applyAlignment="1" applyProtection="1">
      <alignment horizontal="right" vertical="center" wrapText="1"/>
    </xf>
    <xf numFmtId="176" fontId="43" fillId="4" borderId="27" xfId="0" applyNumberFormat="1" applyFont="1" applyFill="1" applyBorder="1" applyAlignment="1" applyProtection="1">
      <alignment horizontal="right" vertical="center" wrapText="1"/>
    </xf>
    <xf numFmtId="176" fontId="43" fillId="4" borderId="28" xfId="0" applyNumberFormat="1" applyFont="1" applyFill="1" applyBorder="1" applyAlignment="1" applyProtection="1">
      <alignment horizontal="right" vertical="center" wrapText="1"/>
    </xf>
    <xf numFmtId="176" fontId="33" fillId="0" borderId="21" xfId="0" applyNumberFormat="1" applyFont="1" applyFill="1" applyBorder="1" applyAlignment="1">
      <alignment horizontal="left" vertical="center" wrapText="1"/>
    </xf>
    <xf numFmtId="176" fontId="33" fillId="0" borderId="25" xfId="0" applyNumberFormat="1" applyFont="1" applyFill="1" applyBorder="1" applyAlignment="1">
      <alignment horizontal="left" vertical="center" wrapText="1"/>
    </xf>
    <xf numFmtId="176" fontId="33" fillId="0" borderId="26" xfId="0" applyNumberFormat="1" applyFont="1" applyFill="1" applyBorder="1" applyAlignment="1">
      <alignment horizontal="left" vertical="center" wrapText="1"/>
    </xf>
    <xf numFmtId="176" fontId="43" fillId="4" borderId="19" xfId="0" applyNumberFormat="1" applyFont="1" applyFill="1" applyBorder="1" applyAlignment="1" applyProtection="1">
      <alignment horizontal="right" vertical="center" wrapText="1"/>
    </xf>
    <xf numFmtId="1" fontId="37" fillId="0" borderId="1" xfId="0" applyNumberFormat="1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 applyProtection="1">
      <alignment horizontal="center" vertical="center" wrapText="1"/>
    </xf>
    <xf numFmtId="176" fontId="37" fillId="0" borderId="27" xfId="0" applyNumberFormat="1" applyFont="1" applyFill="1" applyBorder="1" applyAlignment="1" applyProtection="1">
      <alignment horizontal="right" vertical="center" wrapText="1"/>
    </xf>
    <xf numFmtId="176" fontId="37" fillId="0" borderId="28" xfId="0" applyNumberFormat="1" applyFont="1" applyFill="1" applyBorder="1" applyAlignment="1" applyProtection="1">
      <alignment horizontal="right" vertical="center" wrapText="1"/>
    </xf>
    <xf numFmtId="176" fontId="37" fillId="0" borderId="19" xfId="0" applyNumberFormat="1" applyFont="1" applyFill="1" applyBorder="1" applyAlignment="1" applyProtection="1">
      <alignment horizontal="right" vertical="center" wrapText="1"/>
    </xf>
    <xf numFmtId="0" fontId="37" fillId="0" borderId="1" xfId="0" applyFont="1" applyFill="1" applyBorder="1" applyAlignment="1">
      <alignment vertical="center" wrapText="1"/>
    </xf>
    <xf numFmtId="184" fontId="37" fillId="0" borderId="27" xfId="0" applyNumberFormat="1" applyFont="1" applyFill="1" applyBorder="1" applyAlignment="1" applyProtection="1">
      <alignment horizontal="right" vertical="center" wrapText="1"/>
    </xf>
    <xf numFmtId="184" fontId="37" fillId="0" borderId="28" xfId="0" applyNumberFormat="1" applyFont="1" applyFill="1" applyBorder="1" applyAlignment="1" applyProtection="1">
      <alignment horizontal="right" vertical="center" wrapText="1"/>
    </xf>
    <xf numFmtId="0" fontId="36" fillId="0" borderId="27" xfId="0" applyFont="1" applyFill="1" applyBorder="1" applyAlignment="1">
      <alignment horizontal="left" vertical="center" wrapText="1"/>
    </xf>
    <xf numFmtId="0" fontId="36" fillId="0" borderId="28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 applyProtection="1">
      <alignment horizontal="center" vertical="center" wrapText="1"/>
    </xf>
    <xf numFmtId="176" fontId="36" fillId="0" borderId="0" xfId="0" applyNumberFormat="1" applyFont="1" applyFill="1" applyBorder="1" applyAlignment="1" applyProtection="1">
      <alignment horizontal="right" vertical="center" wrapText="1"/>
    </xf>
    <xf numFmtId="185" fontId="36" fillId="0" borderId="0" xfId="0" applyNumberFormat="1" applyFont="1" applyFill="1" applyBorder="1" applyAlignment="1" applyProtection="1">
      <alignment horizontal="right" vertical="center" wrapText="1"/>
    </xf>
    <xf numFmtId="176" fontId="36" fillId="0" borderId="0" xfId="0" applyNumberFormat="1" applyFont="1" applyFill="1" applyBorder="1" applyAlignment="1">
      <alignment horizontal="right" vertical="center" wrapText="1"/>
    </xf>
    <xf numFmtId="2" fontId="30" fillId="0" borderId="19" xfId="0" applyNumberFormat="1" applyFont="1" applyFill="1" applyBorder="1" applyAlignment="1" applyProtection="1">
      <alignment vertical="center" wrapText="1"/>
    </xf>
    <xf numFmtId="176" fontId="43" fillId="0" borderId="27" xfId="0" applyNumberFormat="1" applyFont="1" applyFill="1" applyBorder="1" applyAlignment="1" applyProtection="1">
      <alignment horizontal="right" vertical="center" wrapText="1"/>
    </xf>
    <xf numFmtId="176" fontId="43" fillId="0" borderId="28" xfId="0" applyNumberFormat="1" applyFont="1" applyFill="1" applyBorder="1" applyAlignment="1" applyProtection="1">
      <alignment horizontal="right" vertical="center" wrapText="1"/>
    </xf>
    <xf numFmtId="176" fontId="30" fillId="0" borderId="19" xfId="0" applyNumberFormat="1" applyFont="1" applyFill="1" applyBorder="1" applyAlignment="1" applyProtection="1">
      <alignment vertical="center" wrapText="1"/>
    </xf>
    <xf numFmtId="176" fontId="45" fillId="0" borderId="0" xfId="0" applyNumberFormat="1" applyFont="1" applyFill="1" applyBorder="1" applyAlignment="1">
      <alignment horizontal="right" vertical="center"/>
    </xf>
    <xf numFmtId="176" fontId="53" fillId="0" borderId="19" xfId="0" applyNumberFormat="1" applyFont="1" applyFill="1" applyBorder="1" applyAlignment="1" applyProtection="1">
      <alignment vertical="center" wrapText="1"/>
    </xf>
    <xf numFmtId="176" fontId="43" fillId="0" borderId="1" xfId="0" applyNumberFormat="1" applyFont="1" applyFill="1" applyBorder="1" applyAlignment="1">
      <alignment horizontal="right" vertical="center" wrapText="1"/>
    </xf>
    <xf numFmtId="176" fontId="43" fillId="0" borderId="1" xfId="0" applyNumberFormat="1" applyFont="1" applyFill="1" applyBorder="1" applyAlignment="1">
      <alignment horizontal="right" vertical="center"/>
    </xf>
    <xf numFmtId="176" fontId="54" fillId="0" borderId="1" xfId="0" applyNumberFormat="1" applyFont="1" applyFill="1" applyBorder="1" applyAlignment="1">
      <alignment horizontal="left" vertical="center" wrapText="1"/>
    </xf>
    <xf numFmtId="0" fontId="36" fillId="0" borderId="19" xfId="0" applyFont="1" applyFill="1" applyBorder="1" applyAlignment="1">
      <alignment horizontal="left" vertical="center" wrapText="1"/>
    </xf>
    <xf numFmtId="176" fontId="45" fillId="0" borderId="0" xfId="0" applyNumberFormat="1" applyFont="1" applyFill="1" applyBorder="1" applyAlignment="1" applyProtection="1">
      <alignment horizontal="right" vertical="center" wrapText="1"/>
    </xf>
    <xf numFmtId="176" fontId="45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right" vertical="center"/>
    </xf>
    <xf numFmtId="176" fontId="0" fillId="0" borderId="0" xfId="0" applyNumberFormat="1" applyFill="1" applyAlignment="1">
      <alignment horizontal="right" vertical="center"/>
    </xf>
    <xf numFmtId="0" fontId="37" fillId="0" borderId="0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center" vertical="center"/>
    </xf>
    <xf numFmtId="176" fontId="30" fillId="0" borderId="1" xfId="0" applyNumberFormat="1" applyFont="1" applyFill="1" applyBorder="1" applyAlignment="1">
      <alignment horizontal="right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6" fontId="30" fillId="0" borderId="27" xfId="0" applyNumberFormat="1" applyFont="1" applyFill="1" applyBorder="1" applyAlignment="1">
      <alignment horizontal="right" vertical="center" wrapText="1"/>
    </xf>
    <xf numFmtId="176" fontId="30" fillId="0" borderId="19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84" fontId="30" fillId="0" borderId="1" xfId="0" applyNumberFormat="1" applyFont="1" applyFill="1" applyBorder="1" applyAlignment="1">
      <alignment horizontal="right" vertical="center" wrapText="1"/>
    </xf>
    <xf numFmtId="176" fontId="41" fillId="0" borderId="0" xfId="0" applyNumberFormat="1" applyFont="1" applyFill="1" applyBorder="1" applyAlignment="1">
      <alignment horizontal="center" vertical="center" wrapText="1"/>
    </xf>
    <xf numFmtId="176" fontId="37" fillId="0" borderId="0" xfId="0" applyNumberFormat="1" applyFont="1" applyFill="1" applyBorder="1" applyAlignment="1">
      <alignment horizontal="left" vertical="center" wrapText="1"/>
    </xf>
    <xf numFmtId="176" fontId="37" fillId="0" borderId="1" xfId="0" applyNumberFormat="1" applyFont="1" applyFill="1" applyBorder="1" applyAlignment="1">
      <alignment vertical="center" wrapText="1"/>
    </xf>
    <xf numFmtId="186" fontId="31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right" vertical="center" wrapText="1"/>
    </xf>
    <xf numFmtId="176" fontId="31" fillId="0" borderId="1" xfId="0" applyNumberFormat="1" applyFont="1" applyFill="1" applyBorder="1" applyAlignment="1">
      <alignment horizontal="right" vertical="center" wrapText="1"/>
    </xf>
    <xf numFmtId="0" fontId="7" fillId="0" borderId="21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10" fontId="7" fillId="0" borderId="1" xfId="3" applyNumberFormat="1" applyFont="1" applyFill="1" applyBorder="1" applyAlignment="1">
      <alignment horizontal="center" vertical="center"/>
    </xf>
    <xf numFmtId="0" fontId="39" fillId="0" borderId="0" xfId="55" applyFill="1" applyBorder="1" applyAlignment="1"/>
    <xf numFmtId="0" fontId="55" fillId="0" borderId="0" xfId="55" applyFont="1" applyFill="1" applyBorder="1" applyAlignment="1"/>
    <xf numFmtId="0" fontId="56" fillId="0" borderId="0" xfId="55" applyFont="1" applyFill="1" applyBorder="1" applyAlignment="1">
      <alignment horizontal="center" vertical="center" wrapText="1"/>
    </xf>
    <xf numFmtId="0" fontId="57" fillId="0" borderId="30" xfId="55" applyFont="1" applyFill="1" applyBorder="1" applyAlignment="1">
      <alignment horizontal="center" vertical="center" wrapText="1"/>
    </xf>
    <xf numFmtId="0" fontId="58" fillId="0" borderId="0" xfId="55" applyFont="1" applyFill="1" applyBorder="1" applyAlignment="1">
      <alignment horizontal="center" wrapText="1"/>
    </xf>
    <xf numFmtId="0" fontId="59" fillId="0" borderId="0" xfId="55" applyFont="1" applyFill="1" applyBorder="1" applyAlignment="1">
      <alignment horizontal="left" wrapText="1"/>
    </xf>
    <xf numFmtId="0" fontId="60" fillId="0" borderId="0" xfId="55" applyFont="1" applyFill="1" applyBorder="1" applyAlignment="1">
      <alignment horizontal="left" wrapText="1"/>
    </xf>
    <xf numFmtId="176" fontId="60" fillId="0" borderId="30" xfId="55" applyNumberFormat="1" applyFont="1" applyFill="1" applyBorder="1" applyAlignment="1">
      <alignment horizontal="center" wrapText="1"/>
    </xf>
    <xf numFmtId="184" fontId="60" fillId="0" borderId="30" xfId="55" applyNumberFormat="1" applyFont="1" applyFill="1" applyBorder="1" applyAlignment="1">
      <alignment horizontal="left" wrapText="1"/>
    </xf>
    <xf numFmtId="176" fontId="61" fillId="0" borderId="30" xfId="55" applyNumberFormat="1" applyFont="1" applyFill="1" applyBorder="1" applyAlignment="1">
      <alignment horizontal="center" wrapText="1"/>
    </xf>
    <xf numFmtId="0" fontId="60" fillId="0" borderId="30" xfId="55" applyFont="1" applyFill="1" applyBorder="1" applyAlignment="1">
      <alignment horizontal="center" wrapText="1"/>
    </xf>
    <xf numFmtId="0" fontId="60" fillId="0" borderId="0" xfId="55" applyFont="1" applyFill="1" applyBorder="1" applyAlignment="1">
      <alignment horizontal="center" vertical="center" wrapText="1"/>
    </xf>
    <xf numFmtId="0" fontId="62" fillId="0" borderId="0" xfId="55" applyFont="1" applyFill="1" applyBorder="1" applyAlignment="1">
      <alignment horizontal="left" wrapText="1"/>
    </xf>
    <xf numFmtId="0" fontId="63" fillId="0" borderId="0" xfId="55" applyFont="1" applyFill="1" applyBorder="1" applyAlignment="1">
      <alignment horizontal="left" wrapText="1"/>
    </xf>
    <xf numFmtId="176" fontId="60" fillId="0" borderId="0" xfId="55" applyNumberFormat="1" applyFont="1" applyFill="1" applyBorder="1" applyAlignment="1">
      <alignment horizontal="center" wrapText="1"/>
    </xf>
    <xf numFmtId="0" fontId="60" fillId="0" borderId="0" xfId="55" applyFont="1" applyFill="1" applyBorder="1" applyAlignment="1">
      <alignment horizontal="center" wrapText="1"/>
    </xf>
    <xf numFmtId="187" fontId="60" fillId="0" borderId="30" xfId="55" applyNumberFormat="1" applyFont="1" applyFill="1" applyBorder="1" applyAlignment="1">
      <alignment horizontal="center" wrapText="1"/>
    </xf>
    <xf numFmtId="187" fontId="64" fillId="0" borderId="30" xfId="55" applyNumberFormat="1" applyFont="1" applyFill="1" applyBorder="1" applyAlignment="1">
      <alignment horizontal="center" wrapText="1"/>
    </xf>
    <xf numFmtId="0" fontId="65" fillId="0" borderId="0" xfId="55" applyFont="1" applyFill="1" applyBorder="1" applyAlignment="1">
      <alignment horizontal="left" wrapText="1"/>
    </xf>
    <xf numFmtId="0" fontId="63" fillId="0" borderId="0" xfId="55" applyFont="1" applyFill="1" applyBorder="1" applyAlignment="1">
      <alignment horizontal="right" wrapText="1"/>
    </xf>
    <xf numFmtId="186" fontId="61" fillId="0" borderId="0" xfId="0" applyNumberFormat="1" applyFont="1" applyFill="1" applyBorder="1" applyAlignment="1" applyProtection="1">
      <alignment horizontal="center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洪河农村水利田园化二期工程结算" xfId="49"/>
    <cellStyle name="常规 2" xfId="50"/>
    <cellStyle name="常规_Sheet1" xfId="51"/>
    <cellStyle name="常规_耕作道工程量" xfId="52"/>
    <cellStyle name="常规_电子表工作表26" xfId="53"/>
    <cellStyle name="常规_A、建筑工程概算表" xfId="54"/>
    <cellStyle name="常规 3" xfId="55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3433;&#20840;&#39278;&#27700;&#24037;&#31243;&#65288;24&#20010;&#28857;&#65289;\&#35745;&#31639;&#31295;\19&#12289;&#21335;&#27743;&#21439;&#22242;&#32467;&#20065;&#20117;&#30000;&#26449;&#39278;&#27700;&#23433;&#20840;&#24037;&#31243;\&#23457;&#26680;&#36164;&#26009;\&#32467;&#31639;&#23457;&#26680;-&#21335;&#27743;&#21439;&#22242;&#32467;&#20065;&#20117;&#30000;&#26449;&#39278;&#27700;&#23433;&#20840;&#24037;&#31243;&#65288;&#21547;&#24037;&#31243;&#37327;&#35745;&#31639;&#31295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3433;&#20840;&#39278;&#27700;&#24037;&#31243;&#65288;24&#20010;&#28857;&#65289;\&#24050;&#23436;&#25104;\1&#12289;&#21335;&#27743;&#21439;&#36214;&#22330;&#38215;&#37329;&#39585;&#26449;&#39278;&#27700;&#23433;&#20840;&#24037;&#31243;\&#23457;&#26680;&#36164;&#26009;\&#35745;&#31639;&#31295;\&#32467;&#31639;&#23457;&#26680;&#65293;&#21335;&#27743;&#21439;&#36214;&#22330;&#38215;&#37329;&#39585;&#26449;&#39278;&#27700;&#23433;&#20840;&#24037;&#31243;&#65288;&#21547;&#24037;&#31243;&#37327;&#35745;&#31639;&#31295;&#65289;9.8&#23545;&#37327;&#23545;&#2021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39044;&#32467;&#31639;&#25991;&#20214;&#22841;&#65288;&#26032;&#65289;\2021&#24180;&#24230;\&#21335;&#27743;&#21439;&#23457;&#35745;&#23616;&#12304;&#23457;&#35745;&#22797;&#26680;&#12305;&#25991;&#20214;&#22841;\&#39278;&#27700;&#23433;&#20840;&#39033;&#30446;\&#23457;&#35745;&#22797;&#26680;&#24213;&#31295;\&#21335;&#20140;&#27704;&#36947;\14&#12289;&#21335;&#27743;&#21439;&#21644;&#24179;&#20065;&#22367;&#26753;&#23376;&#26449;&#39278;&#27700;&#23433;&#20840;&#24037;&#31243;\&#21335;&#27743;&#21439;&#21644;&#24179;&#38215;&#22367;&#26753;&#23376;&#26449;&#39278;&#27700;&#23433;&#20840;&#24037;&#31243;&#65288;&#32467;&#31639;&#23457;&#35745;&#22797;&#26680;&#24773;&#20917;&#20844;&#31034;&#21450;&#38468;&#34920;&#65289;\&#21335;&#27743;&#21439;&#27719;&#28393;&#20065;&#22823;&#22445;&#37324;&#26449;&#39278;&#27700;&#23433;&#20840;&#24037;&#31243;&#32467;&#31639;&#23457;&#35745;&#22797;&#26680;&#24773;&#20917;&#20844;&#3103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汇总表"/>
      <sheetName val="结算审核表"/>
      <sheetName val="工程量核对表"/>
      <sheetName val="工程量计算稿"/>
      <sheetName val="二转材料统计"/>
    </sheetNames>
    <sheetDataSet>
      <sheetData sheetId="0" refreshError="1"/>
      <sheetData sheetId="1" refreshError="1"/>
      <sheetData sheetId="2" refreshError="1">
        <row r="107">
          <cell r="N107">
            <v>5.62688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汇总表"/>
      <sheetName val="结算审核表"/>
      <sheetName val="工程量核对表"/>
      <sheetName val="工程量计算稿"/>
      <sheetName val="二转材料统计"/>
      <sheetName val="材料价格除税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汇总表"/>
      <sheetName val="结算审核表"/>
      <sheetName val="工程量核对表"/>
      <sheetName val="工程量计算稿"/>
      <sheetName val="材料价格除税表"/>
      <sheetName val="二转材料统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13"/>
  <sheetViews>
    <sheetView workbookViewId="0">
      <selection activeCell="V4" sqref="V4:AG4"/>
    </sheetView>
  </sheetViews>
  <sheetFormatPr defaultColWidth="9" defaultRowHeight="14.25"/>
  <cols>
    <col min="1" max="1" width="13.8833333333333" style="385" customWidth="1"/>
    <col min="2" max="3" width="0.133333333333333" style="385" customWidth="1"/>
    <col min="4" max="4" width="2.75" style="385" customWidth="1"/>
    <col min="5" max="5" width="1.63333333333333" style="385" customWidth="1"/>
    <col min="6" max="6" width="0.633333333333333" style="385" customWidth="1"/>
    <col min="7" max="7" width="0.133333333333333" style="385" customWidth="1"/>
    <col min="8" max="8" width="19.1333333333333" style="385" customWidth="1"/>
    <col min="9" max="9" width="0.133333333333333" style="385" customWidth="1"/>
    <col min="10" max="10" width="0.25" style="385" customWidth="1"/>
    <col min="11" max="11" width="8.63333333333333" style="385" customWidth="1"/>
    <col min="12" max="12" width="0.133333333333333" style="385" customWidth="1"/>
    <col min="13" max="13" width="4" style="385" customWidth="1"/>
    <col min="14" max="15" width="0.133333333333333" style="385" customWidth="1"/>
    <col min="16" max="16" width="0.5" style="385" customWidth="1"/>
    <col min="17" max="17" width="0.133333333333333" style="385" customWidth="1"/>
    <col min="18" max="18" width="4.13333333333333" style="385" customWidth="1"/>
    <col min="19" max="19" width="0.133333333333333" style="385" customWidth="1"/>
    <col min="20" max="20" width="0.25" style="385" customWidth="1"/>
    <col min="21" max="21" width="0.133333333333333" style="385" customWidth="1"/>
    <col min="22" max="22" width="2.63333333333333" style="385" customWidth="1"/>
    <col min="23" max="23" width="10.8833333333333" style="385" customWidth="1"/>
    <col min="24" max="24" width="2.63333333333333" style="385" customWidth="1"/>
    <col min="25" max="25" width="0.25" style="385" customWidth="1"/>
    <col min="26" max="26" width="3.25" style="385" customWidth="1"/>
    <col min="27" max="27" width="8.5" style="385" customWidth="1"/>
    <col min="28" max="28" width="0.25" style="385" customWidth="1"/>
    <col min="29" max="29" width="1.38333333333333" style="385" customWidth="1"/>
    <col min="30" max="30" width="0.133333333333333" style="385" customWidth="1"/>
    <col min="31" max="31" width="6.13333333333333" style="385" customWidth="1"/>
    <col min="32" max="32" width="15.5" style="385" customWidth="1"/>
    <col min="33" max="33" width="0.133333333333333" style="385" customWidth="1"/>
    <col min="34" max="34" width="3.38333333333333" style="385" customWidth="1"/>
    <col min="35" max="35" width="10.3833333333333" style="385"/>
    <col min="36" max="36" width="13.75" style="385"/>
    <col min="37" max="16384" width="9" style="385"/>
  </cols>
  <sheetData>
    <row r="1" s="385" customFormat="1" ht="27" customHeight="1" spans="1:34">
      <c r="A1" s="387" t="s">
        <v>0</v>
      </c>
      <c r="B1" s="387"/>
      <c r="C1" s="387"/>
      <c r="D1" s="387"/>
      <c r="E1" s="388" t="s">
        <v>1</v>
      </c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88"/>
      <c r="U1" s="388"/>
      <c r="V1" s="388"/>
      <c r="W1" s="388"/>
      <c r="X1" s="388"/>
      <c r="Y1" s="388"/>
      <c r="Z1" s="388"/>
      <c r="AA1" s="388"/>
      <c r="AB1" s="388"/>
      <c r="AC1" s="388"/>
      <c r="AD1" s="388"/>
      <c r="AE1" s="388"/>
      <c r="AF1" s="403"/>
      <c r="AG1" s="403"/>
      <c r="AH1" s="403"/>
    </row>
    <row r="2" s="385" customFormat="1" ht="39" customHeight="1" spans="1:34">
      <c r="A2" s="389" t="s">
        <v>2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  <c r="M2" s="389"/>
      <c r="N2" s="389"/>
      <c r="O2" s="389"/>
      <c r="P2" s="389"/>
      <c r="Q2" s="389"/>
      <c r="R2" s="389"/>
      <c r="S2" s="389"/>
      <c r="T2" s="389"/>
      <c r="U2" s="389"/>
      <c r="V2" s="389"/>
      <c r="W2" s="389"/>
      <c r="X2" s="389"/>
      <c r="Y2" s="389"/>
      <c r="Z2" s="389"/>
      <c r="AA2" s="389"/>
      <c r="AB2" s="389"/>
      <c r="AC2" s="389"/>
      <c r="AD2" s="389"/>
      <c r="AE2" s="389"/>
      <c r="AF2" s="389"/>
      <c r="AG2" s="389"/>
      <c r="AH2" s="389"/>
    </row>
    <row r="3" s="386" customFormat="1" ht="43" customHeight="1" spans="1:34">
      <c r="A3" s="390" t="s">
        <v>3</v>
      </c>
      <c r="B3" s="391"/>
      <c r="C3" s="391"/>
      <c r="D3" s="391"/>
      <c r="E3" s="391"/>
      <c r="F3" s="391"/>
      <c r="G3" s="391"/>
      <c r="H3" s="392">
        <f>汇总表!D22</f>
        <v>499765</v>
      </c>
      <c r="I3" s="392"/>
      <c r="J3" s="392"/>
      <c r="K3" s="392"/>
      <c r="L3" s="392"/>
      <c r="M3" s="391" t="s">
        <v>4</v>
      </c>
      <c r="N3" s="391"/>
      <c r="O3" s="391"/>
      <c r="P3" s="391"/>
      <c r="Q3" s="391"/>
      <c r="R3" s="391"/>
      <c r="S3" s="391"/>
      <c r="T3" s="391"/>
      <c r="U3" s="391"/>
      <c r="V3" s="401">
        <f>H3</f>
        <v>499765</v>
      </c>
      <c r="W3" s="401"/>
      <c r="X3" s="401"/>
      <c r="Y3" s="401"/>
      <c r="Z3" s="401"/>
      <c r="AA3" s="401"/>
      <c r="AB3" s="401"/>
      <c r="AC3" s="401"/>
      <c r="AD3" s="401"/>
      <c r="AE3" s="401"/>
      <c r="AF3" s="401"/>
      <c r="AG3" s="401"/>
      <c r="AH3" s="391" t="s">
        <v>0</v>
      </c>
    </row>
    <row r="4" s="386" customFormat="1" ht="45" customHeight="1" spans="1:34">
      <c r="A4" s="390" t="s">
        <v>5</v>
      </c>
      <c r="B4" s="391"/>
      <c r="C4" s="391"/>
      <c r="D4" s="391"/>
      <c r="E4" s="391"/>
      <c r="F4" s="391"/>
      <c r="G4" s="391"/>
      <c r="H4" s="392">
        <f>汇总表!F22</f>
        <v>653419</v>
      </c>
      <c r="I4" s="392"/>
      <c r="J4" s="392"/>
      <c r="K4" s="392"/>
      <c r="L4" s="399"/>
      <c r="M4" s="391" t="s">
        <v>4</v>
      </c>
      <c r="N4" s="391"/>
      <c r="O4" s="391"/>
      <c r="P4" s="391"/>
      <c r="Q4" s="391"/>
      <c r="R4" s="391"/>
      <c r="S4" s="391"/>
      <c r="T4" s="391"/>
      <c r="U4" s="391"/>
      <c r="V4" s="401">
        <f>H4</f>
        <v>653419</v>
      </c>
      <c r="W4" s="401"/>
      <c r="X4" s="401"/>
      <c r="Y4" s="401"/>
      <c r="Z4" s="401"/>
      <c r="AA4" s="401"/>
      <c r="AB4" s="401"/>
      <c r="AC4" s="401"/>
      <c r="AD4" s="401"/>
      <c r="AE4" s="401"/>
      <c r="AF4" s="401"/>
      <c r="AG4" s="401"/>
      <c r="AH4" s="391"/>
    </row>
    <row r="5" s="386" customFormat="1" ht="42.75" customHeight="1" spans="1:34">
      <c r="A5" s="390" t="s">
        <v>6</v>
      </c>
      <c r="B5" s="391"/>
      <c r="C5" s="391"/>
      <c r="D5" s="391"/>
      <c r="E5" s="391"/>
      <c r="F5" s="391"/>
      <c r="G5" s="393"/>
      <c r="H5" s="394">
        <f ca="1">汇总表!F22-汇总表!H22</f>
        <v>202678</v>
      </c>
      <c r="I5" s="394"/>
      <c r="J5" s="394"/>
      <c r="K5" s="394"/>
      <c r="L5" s="391" t="s">
        <v>4</v>
      </c>
      <c r="M5" s="391"/>
      <c r="N5" s="391"/>
      <c r="O5" s="391"/>
      <c r="P5" s="391"/>
      <c r="Q5" s="391"/>
      <c r="R5" s="391"/>
      <c r="S5" s="391"/>
      <c r="T5" s="391"/>
      <c r="U5" s="402">
        <v>12377093</v>
      </c>
      <c r="V5" s="401">
        <f ca="1">H5</f>
        <v>202678</v>
      </c>
      <c r="W5" s="401"/>
      <c r="X5" s="401"/>
      <c r="Y5" s="401"/>
      <c r="Z5" s="401"/>
      <c r="AA5" s="401"/>
      <c r="AB5" s="401"/>
      <c r="AC5" s="401"/>
      <c r="AD5" s="401"/>
      <c r="AE5" s="401"/>
      <c r="AF5" s="401"/>
      <c r="AG5" s="401"/>
      <c r="AH5" s="391"/>
    </row>
    <row r="6" s="386" customFormat="1" ht="69.75" customHeight="1" spans="1:34">
      <c r="A6" s="391" t="s">
        <v>7</v>
      </c>
      <c r="B6" s="391"/>
      <c r="C6" s="395" t="s">
        <v>8</v>
      </c>
      <c r="D6" s="395"/>
      <c r="E6" s="395"/>
      <c r="F6" s="395"/>
      <c r="G6" s="395"/>
      <c r="H6" s="395"/>
      <c r="I6" s="395"/>
      <c r="J6" s="391" t="s">
        <v>9</v>
      </c>
      <c r="K6" s="391"/>
      <c r="L6" s="391"/>
      <c r="M6" s="391"/>
      <c r="N6" s="391"/>
      <c r="O6" s="391"/>
      <c r="P6" s="395" t="s">
        <v>10</v>
      </c>
      <c r="Q6" s="395"/>
      <c r="R6" s="395"/>
      <c r="S6" s="395"/>
      <c r="T6" s="395"/>
      <c r="U6" s="395"/>
      <c r="V6" s="395"/>
      <c r="W6" s="395"/>
      <c r="X6" s="395"/>
      <c r="Y6" s="395"/>
      <c r="Z6" s="391" t="s">
        <v>11</v>
      </c>
      <c r="AA6" s="391"/>
      <c r="AB6" s="391"/>
      <c r="AC6" s="395" t="s">
        <v>12</v>
      </c>
      <c r="AD6" s="395"/>
      <c r="AE6" s="395"/>
      <c r="AF6" s="395"/>
      <c r="AG6" s="395"/>
      <c r="AH6" s="395"/>
    </row>
    <row r="7" s="386" customFormat="1" ht="20.25" customHeight="1" spans="1:36">
      <c r="A7" s="391" t="s">
        <v>0</v>
      </c>
      <c r="B7" s="396" t="s">
        <v>13</v>
      </c>
      <c r="C7" s="396"/>
      <c r="D7" s="396"/>
      <c r="E7" s="396"/>
      <c r="F7" s="396"/>
      <c r="G7" s="396"/>
      <c r="H7" s="396"/>
      <c r="I7" s="396"/>
      <c r="J7" s="396"/>
      <c r="K7" s="396" t="s">
        <v>0</v>
      </c>
      <c r="L7" s="396"/>
      <c r="M7" s="396"/>
      <c r="N7" s="396"/>
      <c r="O7" s="396"/>
      <c r="P7" s="396" t="s">
        <v>13</v>
      </c>
      <c r="Q7" s="396"/>
      <c r="R7" s="396"/>
      <c r="S7" s="396"/>
      <c r="T7" s="396"/>
      <c r="U7" s="396"/>
      <c r="V7" s="396"/>
      <c r="W7" s="396"/>
      <c r="X7" s="396"/>
      <c r="Y7" s="400" t="s">
        <v>0</v>
      </c>
      <c r="Z7" s="400"/>
      <c r="AA7" s="400"/>
      <c r="AB7" s="396" t="s">
        <v>13</v>
      </c>
      <c r="AC7" s="396"/>
      <c r="AD7" s="396"/>
      <c r="AE7" s="396"/>
      <c r="AF7" s="396"/>
      <c r="AG7" s="396"/>
      <c r="AH7" s="396"/>
      <c r="AJ7" s="405"/>
    </row>
    <row r="8" s="386" customFormat="1" ht="41.25" customHeight="1" spans="1:34">
      <c r="A8" s="391" t="s">
        <v>14</v>
      </c>
      <c r="B8" s="391"/>
      <c r="C8" s="395" t="s">
        <v>15</v>
      </c>
      <c r="D8" s="395"/>
      <c r="E8" s="395"/>
      <c r="F8" s="395"/>
      <c r="G8" s="395"/>
      <c r="H8" s="395"/>
      <c r="I8" s="395"/>
      <c r="J8" s="395"/>
      <c r="K8" s="391" t="s">
        <v>14</v>
      </c>
      <c r="L8" s="391"/>
      <c r="M8" s="391"/>
      <c r="N8" s="391"/>
      <c r="O8" s="391"/>
      <c r="P8" s="391"/>
      <c r="Q8" s="391"/>
      <c r="R8" s="395" t="s">
        <v>15</v>
      </c>
      <c r="S8" s="395"/>
      <c r="T8" s="395"/>
      <c r="U8" s="395"/>
      <c r="V8" s="395"/>
      <c r="W8" s="395"/>
      <c r="X8" s="395"/>
      <c r="Y8" s="395"/>
      <c r="Z8" s="391" t="s">
        <v>14</v>
      </c>
      <c r="AA8" s="391"/>
      <c r="AB8" s="391"/>
      <c r="AC8" s="391"/>
      <c r="AD8" s="391"/>
      <c r="AE8" s="395"/>
      <c r="AF8" s="395"/>
      <c r="AG8" s="395"/>
      <c r="AH8" s="395"/>
    </row>
    <row r="9" s="386" customFormat="1" ht="20.25" customHeight="1" spans="1:34">
      <c r="A9" s="391" t="s">
        <v>0</v>
      </c>
      <c r="B9" s="396" t="s">
        <v>16</v>
      </c>
      <c r="C9" s="396"/>
      <c r="D9" s="396"/>
      <c r="E9" s="396"/>
      <c r="F9" s="396"/>
      <c r="G9" s="396"/>
      <c r="H9" s="396"/>
      <c r="I9" s="396" t="s">
        <v>0</v>
      </c>
      <c r="J9" s="396"/>
      <c r="K9" s="396"/>
      <c r="L9" s="396"/>
      <c r="M9" s="396"/>
      <c r="N9" s="396"/>
      <c r="O9" s="396"/>
      <c r="P9" s="396"/>
      <c r="Q9" s="396" t="s">
        <v>16</v>
      </c>
      <c r="R9" s="396"/>
      <c r="S9" s="396"/>
      <c r="T9" s="396"/>
      <c r="U9" s="396"/>
      <c r="V9" s="396"/>
      <c r="W9" s="396"/>
      <c r="X9" s="396"/>
      <c r="Y9" s="396"/>
      <c r="Z9" s="396" t="s">
        <v>0</v>
      </c>
      <c r="AA9" s="396"/>
      <c r="AB9" s="396"/>
      <c r="AC9" s="396"/>
      <c r="AD9" s="396" t="s">
        <v>16</v>
      </c>
      <c r="AE9" s="396"/>
      <c r="AF9" s="396"/>
      <c r="AG9" s="396"/>
      <c r="AH9" s="396"/>
    </row>
    <row r="10" s="386" customFormat="1" ht="49.5" customHeight="1" spans="1:34">
      <c r="A10" s="391" t="s">
        <v>17</v>
      </c>
      <c r="B10" s="391"/>
      <c r="C10" s="395" t="s">
        <v>18</v>
      </c>
      <c r="D10" s="395"/>
      <c r="E10" s="395"/>
      <c r="F10" s="395"/>
      <c r="G10" s="395"/>
      <c r="H10" s="395"/>
      <c r="I10" s="395"/>
      <c r="J10" s="395"/>
      <c r="K10" s="395"/>
      <c r="L10" s="395"/>
      <c r="M10" s="395"/>
      <c r="N10" s="395"/>
      <c r="O10" s="391" t="s">
        <v>0</v>
      </c>
      <c r="P10" s="391"/>
      <c r="Q10" s="391"/>
      <c r="R10" s="391"/>
      <c r="S10" s="391"/>
      <c r="T10" s="391" t="s">
        <v>19</v>
      </c>
      <c r="U10" s="391"/>
      <c r="V10" s="391"/>
      <c r="W10" s="391"/>
      <c r="X10" s="395" t="s">
        <v>15</v>
      </c>
      <c r="Y10" s="395"/>
      <c r="Z10" s="395"/>
      <c r="AA10" s="395"/>
      <c r="AB10" s="395"/>
      <c r="AC10" s="395"/>
      <c r="AD10" s="395"/>
      <c r="AE10" s="395"/>
      <c r="AF10" s="395"/>
      <c r="AG10" s="395"/>
      <c r="AH10" s="395"/>
    </row>
    <row r="11" s="386" customFormat="1" ht="21.75" customHeight="1" spans="1:34">
      <c r="A11" s="391" t="s">
        <v>0</v>
      </c>
      <c r="B11" s="391"/>
      <c r="C11" s="391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400" t="s">
        <v>0</v>
      </c>
      <c r="O11" s="400"/>
      <c r="P11" s="400"/>
      <c r="Q11" s="400"/>
      <c r="R11" s="400"/>
      <c r="S11" s="400"/>
      <c r="T11" s="400"/>
      <c r="U11" s="400"/>
      <c r="V11" s="400"/>
      <c r="W11" s="400"/>
      <c r="X11" s="400"/>
      <c r="Y11" s="400"/>
      <c r="Z11" s="400"/>
      <c r="AA11" s="396"/>
      <c r="AB11" s="396"/>
      <c r="AC11" s="396"/>
      <c r="AD11" s="396"/>
      <c r="AE11" s="396"/>
      <c r="AF11" s="396"/>
      <c r="AG11" s="396"/>
      <c r="AH11" s="396"/>
    </row>
    <row r="12" s="386" customFormat="1" ht="31.5" customHeight="1" spans="1:34">
      <c r="A12" s="391" t="s">
        <v>20</v>
      </c>
      <c r="B12" s="391"/>
      <c r="C12" s="391"/>
      <c r="D12" s="391"/>
      <c r="E12" s="391"/>
      <c r="F12" s="391" t="s">
        <v>15</v>
      </c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  <c r="AA12" s="391" t="s">
        <v>15</v>
      </c>
      <c r="AB12" s="391"/>
      <c r="AC12" s="391"/>
      <c r="AD12" s="391"/>
      <c r="AE12" s="391"/>
      <c r="AF12" s="391"/>
      <c r="AG12" s="391"/>
      <c r="AH12" s="391"/>
    </row>
    <row r="13" s="385" customFormat="1" ht="37" customHeight="1" spans="1:34">
      <c r="A13" s="397" t="s">
        <v>0</v>
      </c>
      <c r="B13" s="397"/>
      <c r="C13" s="397"/>
      <c r="D13" s="397"/>
      <c r="E13" s="397"/>
      <c r="F13" s="398" t="s">
        <v>0</v>
      </c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7" t="s">
        <v>0</v>
      </c>
      <c r="X13" s="397"/>
      <c r="Y13" s="397"/>
      <c r="Z13" s="397"/>
      <c r="AA13" s="404"/>
      <c r="AB13" s="404"/>
      <c r="AC13" s="404"/>
      <c r="AD13" s="404"/>
      <c r="AE13" s="404"/>
      <c r="AF13" s="404"/>
      <c r="AG13" s="404"/>
      <c r="AH13" s="404"/>
    </row>
  </sheetData>
  <mergeCells count="55">
    <mergeCell ref="A1:D1"/>
    <mergeCell ref="E1:AE1"/>
    <mergeCell ref="AF1:AH1"/>
    <mergeCell ref="A2:AH2"/>
    <mergeCell ref="A3:G3"/>
    <mergeCell ref="H3:L3"/>
    <mergeCell ref="M3:U3"/>
    <mergeCell ref="V3:AG3"/>
    <mergeCell ref="A4:F4"/>
    <mergeCell ref="H4:K4"/>
    <mergeCell ref="M4:U4"/>
    <mergeCell ref="V4:AG4"/>
    <mergeCell ref="A5:F5"/>
    <mergeCell ref="H5:K5"/>
    <mergeCell ref="L5:T5"/>
    <mergeCell ref="V5:AG5"/>
    <mergeCell ref="A6:B6"/>
    <mergeCell ref="C6:I6"/>
    <mergeCell ref="J6:O6"/>
    <mergeCell ref="P6:Y6"/>
    <mergeCell ref="Z6:AB6"/>
    <mergeCell ref="AC6:AH6"/>
    <mergeCell ref="B7:J7"/>
    <mergeCell ref="K7:O7"/>
    <mergeCell ref="P7:X7"/>
    <mergeCell ref="Y7:AA7"/>
    <mergeCell ref="AB7:AH7"/>
    <mergeCell ref="A8:B8"/>
    <mergeCell ref="C8:J8"/>
    <mergeCell ref="K8:Q8"/>
    <mergeCell ref="R8:Y8"/>
    <mergeCell ref="Z8:AD8"/>
    <mergeCell ref="AE8:AH8"/>
    <mergeCell ref="B9:H9"/>
    <mergeCell ref="I9:P9"/>
    <mergeCell ref="Q9:Y9"/>
    <mergeCell ref="Z9:AC9"/>
    <mergeCell ref="AD9:AH9"/>
    <mergeCell ref="A10:B10"/>
    <mergeCell ref="C10:N10"/>
    <mergeCell ref="O10:S10"/>
    <mergeCell ref="T10:W10"/>
    <mergeCell ref="X10:AH10"/>
    <mergeCell ref="A11:C11"/>
    <mergeCell ref="D11:M11"/>
    <mergeCell ref="N11:Z11"/>
    <mergeCell ref="AA11:AH11"/>
    <mergeCell ref="A12:E12"/>
    <mergeCell ref="F12:R12"/>
    <mergeCell ref="S12:Z12"/>
    <mergeCell ref="AA12:AH12"/>
    <mergeCell ref="A13:E13"/>
    <mergeCell ref="F13:V13"/>
    <mergeCell ref="W13:Z13"/>
    <mergeCell ref="AA13:AH13"/>
  </mergeCells>
  <pageMargins left="1.57430555555556" right="0.786805555555556" top="0.786805555555556" bottom="0.393055555555556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opLeftCell="C1" workbookViewId="0">
      <pane ySplit="4" topLeftCell="A17" activePane="bottomLeft" state="frozenSplit"/>
      <selection/>
      <selection pane="bottomLeft" activeCell="N20" sqref="N20"/>
    </sheetView>
  </sheetViews>
  <sheetFormatPr defaultColWidth="9" defaultRowHeight="13.5"/>
  <cols>
    <col min="1" max="1" width="4.125" style="357" customWidth="1"/>
    <col min="2" max="2" width="31.5" style="358" customWidth="1"/>
    <col min="3" max="3" width="6.625" style="358" customWidth="1"/>
    <col min="4" max="9" width="12.625" style="359" customWidth="1"/>
    <col min="10" max="11" width="12.625" style="360" customWidth="1"/>
    <col min="12" max="12" width="12.875" style="357" customWidth="1"/>
    <col min="13" max="14" width="9" style="358"/>
    <col min="15" max="16" width="11.5" style="358"/>
    <col min="17" max="16384" width="9" style="358"/>
  </cols>
  <sheetData>
    <row r="1" ht="43" customHeight="1" spans="1:12">
      <c r="A1" s="176" t="s">
        <v>21</v>
      </c>
      <c r="B1" s="176"/>
      <c r="C1" s="176"/>
      <c r="D1" s="176"/>
      <c r="E1" s="176"/>
      <c r="F1" s="176"/>
      <c r="G1" s="176"/>
      <c r="H1" s="176"/>
      <c r="I1" s="176"/>
      <c r="J1" s="376"/>
      <c r="K1" s="376"/>
      <c r="L1" s="176"/>
    </row>
    <row r="2" ht="19" customHeight="1" spans="1:12">
      <c r="A2" s="361" t="s">
        <v>22</v>
      </c>
      <c r="B2" s="361"/>
      <c r="C2" s="361"/>
      <c r="D2" s="361"/>
      <c r="E2" s="361"/>
      <c r="F2" s="361"/>
      <c r="G2" s="361"/>
      <c r="H2" s="361"/>
      <c r="I2" s="361"/>
      <c r="J2" s="377"/>
      <c r="K2" s="377"/>
      <c r="L2" s="361"/>
    </row>
    <row r="3" ht="19" customHeight="1" spans="1:12">
      <c r="A3" s="187" t="s">
        <v>23</v>
      </c>
      <c r="B3" s="187" t="s">
        <v>24</v>
      </c>
      <c r="C3" s="187" t="s">
        <v>25</v>
      </c>
      <c r="D3" s="187" t="s">
        <v>26</v>
      </c>
      <c r="E3" s="187"/>
      <c r="F3" s="187" t="s">
        <v>27</v>
      </c>
      <c r="G3" s="187"/>
      <c r="H3" s="187" t="s">
        <v>28</v>
      </c>
      <c r="I3" s="187"/>
      <c r="J3" s="270" t="s">
        <v>29</v>
      </c>
      <c r="K3" s="270"/>
      <c r="L3" s="187" t="s">
        <v>30</v>
      </c>
    </row>
    <row r="4" ht="29" customHeight="1" spans="1:12">
      <c r="A4" s="187"/>
      <c r="B4" s="187"/>
      <c r="C4" s="187"/>
      <c r="D4" s="187" t="s">
        <v>31</v>
      </c>
      <c r="E4" s="187" t="s">
        <v>32</v>
      </c>
      <c r="F4" s="187" t="s">
        <v>31</v>
      </c>
      <c r="G4" s="187" t="s">
        <v>32</v>
      </c>
      <c r="H4" s="187" t="s">
        <v>31</v>
      </c>
      <c r="I4" s="187" t="s">
        <v>32</v>
      </c>
      <c r="J4" s="378" t="s">
        <v>33</v>
      </c>
      <c r="K4" s="378" t="s">
        <v>34</v>
      </c>
      <c r="L4" s="187"/>
    </row>
    <row r="5" s="355" customFormat="1" ht="30" customHeight="1" spans="1:12">
      <c r="A5" s="332"/>
      <c r="B5" s="187" t="str">
        <f>结算审核明细表!B6</f>
        <v>第一部分 建筑工程</v>
      </c>
      <c r="C5" s="362"/>
      <c r="D5" s="363">
        <f>结算审核明细表!G6</f>
        <v>280805.497</v>
      </c>
      <c r="E5" s="363"/>
      <c r="F5" s="363">
        <f>结算审核明细表!L6</f>
        <v>363328.49</v>
      </c>
      <c r="G5" s="363"/>
      <c r="H5" s="363">
        <f ca="1">SUM(H6:H12)</f>
        <v>293907.505062739</v>
      </c>
      <c r="I5" s="363"/>
      <c r="J5" s="363">
        <f ca="1">SUM(J6:J12)</f>
        <v>13102.0080627393</v>
      </c>
      <c r="K5" s="363">
        <f ca="1">SUM(K6:K12)</f>
        <v>-69420.9549372607</v>
      </c>
      <c r="L5" s="379"/>
    </row>
    <row r="6" s="356" customFormat="1" ht="30" customHeight="1" spans="1:12">
      <c r="A6" s="208" t="str">
        <f>结算审核明细表!A7</f>
        <v>一</v>
      </c>
      <c r="B6" s="364" t="str">
        <f>结算审核明细表!B7</f>
        <v>张家湾供水工程</v>
      </c>
      <c r="C6" s="365"/>
      <c r="D6" s="366">
        <f>结算审核明细表!G7</f>
        <v>204570.847</v>
      </c>
      <c r="E6" s="366"/>
      <c r="F6" s="366">
        <f>结算审核明细表!L7</f>
        <v>92402.32</v>
      </c>
      <c r="G6" s="366"/>
      <c r="H6" s="366">
        <f ca="1">结算审核明细表!Q7</f>
        <v>101299.940454724</v>
      </c>
      <c r="I6" s="366"/>
      <c r="J6" s="366">
        <f ca="1">H6-D6</f>
        <v>-103270.906545276</v>
      </c>
      <c r="K6" s="380">
        <f ca="1" t="shared" ref="K6:K22" si="0">H6-F6</f>
        <v>8897.62045472419</v>
      </c>
      <c r="L6" s="379"/>
    </row>
    <row r="7" s="356" customFormat="1" ht="30" customHeight="1" spans="1:12">
      <c r="A7" s="208" t="str">
        <f>结算审核明细表!A78</f>
        <v>二</v>
      </c>
      <c r="B7" s="364" t="str">
        <f>结算审核明细表!B78</f>
        <v>长湾供水工程</v>
      </c>
      <c r="C7" s="365"/>
      <c r="D7" s="366">
        <f>结算审核明细表!G78</f>
        <v>0</v>
      </c>
      <c r="E7" s="366"/>
      <c r="F7" s="366">
        <f>结算审核明细表!L78</f>
        <v>66268.61</v>
      </c>
      <c r="G7" s="366"/>
      <c r="H7" s="366">
        <f ca="1">结算审核明细表!Q78</f>
        <v>55611.9177372843</v>
      </c>
      <c r="I7" s="366"/>
      <c r="J7" s="366">
        <f ca="1" t="shared" ref="J7:J12" si="1">H7-D7</f>
        <v>55611.9177372843</v>
      </c>
      <c r="K7" s="380">
        <f ca="1" t="shared" si="0"/>
        <v>-10656.6922627157</v>
      </c>
      <c r="L7" s="379"/>
    </row>
    <row r="8" s="356" customFormat="1" ht="30" customHeight="1" spans="1:12">
      <c r="A8" s="208" t="str">
        <f>结算审核明细表!A138</f>
        <v>三</v>
      </c>
      <c r="B8" s="364" t="str">
        <f>结算审核明细表!B138</f>
        <v>刘家湾供水工程</v>
      </c>
      <c r="C8" s="365"/>
      <c r="D8" s="366">
        <f>结算审核明细表!G138</f>
        <v>76234.65</v>
      </c>
      <c r="E8" s="366"/>
      <c r="F8" s="366">
        <f>结算审核明细表!L138</f>
        <v>67212.81</v>
      </c>
      <c r="G8" s="366"/>
      <c r="H8" s="366">
        <f ca="1">结算审核明细表!Q138</f>
        <v>58446.1585163024</v>
      </c>
      <c r="I8" s="366"/>
      <c r="J8" s="366">
        <f ca="1" t="shared" si="1"/>
        <v>-17788.4914836976</v>
      </c>
      <c r="K8" s="380">
        <f ca="1" t="shared" si="0"/>
        <v>-8766.65148369763</v>
      </c>
      <c r="L8" s="379"/>
    </row>
    <row r="9" customFormat="1" ht="30" customHeight="1" spans="1:12">
      <c r="A9" s="208" t="str">
        <f>结算审核明细表!A200</f>
        <v>四</v>
      </c>
      <c r="B9" s="364" t="str">
        <f>结算审核明细表!B200</f>
        <v>张家梁供水工程</v>
      </c>
      <c r="C9" s="365"/>
      <c r="D9" s="366">
        <f>结算审核明细表!G200</f>
        <v>0</v>
      </c>
      <c r="E9" s="366"/>
      <c r="F9" s="366">
        <f>结算审核明细表!L200</f>
        <v>66631.95</v>
      </c>
      <c r="G9" s="366"/>
      <c r="H9" s="366">
        <f ca="1">结算审核明细表!Q200</f>
        <v>39987.0257968161</v>
      </c>
      <c r="I9" s="366"/>
      <c r="J9" s="366">
        <f ca="1" t="shared" si="1"/>
        <v>39987.0257968161</v>
      </c>
      <c r="K9" s="380">
        <f ca="1" t="shared" si="0"/>
        <v>-26644.9242031839</v>
      </c>
      <c r="L9" s="367"/>
    </row>
    <row r="10" customFormat="1" ht="30" customHeight="1" spans="1:12">
      <c r="A10" s="367" t="str">
        <f>结算审核明细表!A249</f>
        <v>五</v>
      </c>
      <c r="B10" s="364" t="str">
        <f>结算审核明细表!B249</f>
        <v>李家山供水工程</v>
      </c>
      <c r="C10" s="365"/>
      <c r="D10" s="366">
        <f>结算审核明细表!G249</f>
        <v>0</v>
      </c>
      <c r="E10" s="366"/>
      <c r="F10" s="366">
        <f>结算审核明细表!L249</f>
        <v>35942.37</v>
      </c>
      <c r="G10" s="366"/>
      <c r="H10" s="366">
        <f ca="1">结算审核明细表!Q249</f>
        <v>34736.4215936123</v>
      </c>
      <c r="I10" s="366"/>
      <c r="J10" s="366">
        <f ca="1" t="shared" si="1"/>
        <v>34736.4215936123</v>
      </c>
      <c r="K10" s="380">
        <f ca="1" t="shared" si="0"/>
        <v>-1205.94840638767</v>
      </c>
      <c r="L10" s="367" t="s">
        <v>35</v>
      </c>
    </row>
    <row r="11" customFormat="1" ht="30" customHeight="1" spans="1:12">
      <c r="A11" s="208" t="str">
        <f>结算审核明细表!A294</f>
        <v>六</v>
      </c>
      <c r="B11" s="364" t="str">
        <f>结算审核明细表!B294</f>
        <v>陈家河陈文如处供水工程</v>
      </c>
      <c r="C11" s="365"/>
      <c r="D11" s="366">
        <f>结算审核明细表!G294</f>
        <v>0</v>
      </c>
      <c r="E11" s="366"/>
      <c r="F11" s="366">
        <f>结算审核明细表!L294</f>
        <v>5051.4</v>
      </c>
      <c r="G11" s="366"/>
      <c r="H11" s="366">
        <f ca="1">结算审核明细表!Q294</f>
        <v>3826.040964</v>
      </c>
      <c r="I11" s="366"/>
      <c r="J11" s="366">
        <f ca="1" t="shared" si="1"/>
        <v>3826.040964</v>
      </c>
      <c r="K11" s="380">
        <f ca="1" t="shared" si="0"/>
        <v>-1225.359036</v>
      </c>
      <c r="L11" s="367" t="s">
        <v>35</v>
      </c>
    </row>
    <row r="12" customFormat="1" ht="30" customHeight="1" spans="1:12">
      <c r="A12" s="208" t="str">
        <f>结算审核明细表!A308</f>
        <v>七</v>
      </c>
      <c r="B12" s="364" t="str">
        <f>结算审核明细表!B308</f>
        <v>其他工程</v>
      </c>
      <c r="C12" s="365"/>
      <c r="D12" s="366">
        <f>结算审核明细表!G308</f>
        <v>0</v>
      </c>
      <c r="E12" s="366"/>
      <c r="F12" s="366">
        <f>结算审核明细表!L308</f>
        <v>29819</v>
      </c>
      <c r="G12" s="366"/>
      <c r="H12" s="366">
        <f ca="1">结算审核明细表!Q308</f>
        <v>0</v>
      </c>
      <c r="I12" s="366"/>
      <c r="J12" s="366">
        <f ca="1" t="shared" si="1"/>
        <v>0</v>
      </c>
      <c r="K12" s="380">
        <f ca="1" t="shared" si="0"/>
        <v>-29819</v>
      </c>
      <c r="L12" s="367" t="s">
        <v>35</v>
      </c>
    </row>
    <row r="13" customFormat="1" ht="30" customHeight="1" spans="1:12">
      <c r="A13" s="208"/>
      <c r="B13" s="187" t="str">
        <f>结算审核明细表!B313</f>
        <v>第二部分  金属结构设备及安装工程</v>
      </c>
      <c r="C13" s="368"/>
      <c r="D13" s="363">
        <f>结算审核明细表!G313</f>
        <v>1078630.31</v>
      </c>
      <c r="E13" s="363">
        <f>结算审核明细表!H313</f>
        <v>218960</v>
      </c>
      <c r="F13" s="363">
        <f>结算审核明细表!L313</f>
        <v>425899.91</v>
      </c>
      <c r="G13" s="363">
        <f>结算审核明细表!M313</f>
        <v>195983.12</v>
      </c>
      <c r="H13" s="363">
        <f ca="1">SUM(H14:H16)</f>
        <v>333728.262235135</v>
      </c>
      <c r="I13" s="363">
        <f ca="1">SUM(I14:I16)</f>
        <v>148001.41954955</v>
      </c>
      <c r="J13" s="363">
        <f ca="1">SUM(J14:J16)</f>
        <v>-823384.759602703</v>
      </c>
      <c r="K13" s="363">
        <f ca="1">SUM(K14:K16)</f>
        <v>-147677.479602703</v>
      </c>
      <c r="L13" s="367"/>
    </row>
    <row r="14" customFormat="1" ht="30" customHeight="1" spans="1:12">
      <c r="A14" s="208" t="str">
        <f>结算审核明细表!A314</f>
        <v>一</v>
      </c>
      <c r="B14" s="364" t="str">
        <f>结算审核明细表!B314</f>
        <v>管道安装费</v>
      </c>
      <c r="C14" s="368"/>
      <c r="D14" s="366">
        <f>结算审核明细表!G314</f>
        <v>0</v>
      </c>
      <c r="E14" s="366">
        <f>结算审核明细表!H314</f>
        <v>218960</v>
      </c>
      <c r="F14" s="366">
        <f>结算审核明细表!L314</f>
        <v>0</v>
      </c>
      <c r="G14" s="366">
        <f>结算审核明细表!M314</f>
        <v>195983.12</v>
      </c>
      <c r="H14" s="366">
        <f ca="1">结算审核明细表!Q314</f>
        <v>7524.13138738739</v>
      </c>
      <c r="I14" s="366">
        <f ca="1">结算审核明细表!R314</f>
        <v>148001.41954955</v>
      </c>
      <c r="J14" s="380">
        <f ca="1">I14-E14</f>
        <v>-70958.5804504503</v>
      </c>
      <c r="K14" s="380">
        <f ca="1">I14-G14</f>
        <v>-47981.7004504503</v>
      </c>
      <c r="L14" s="367"/>
    </row>
    <row r="15" customFormat="1" ht="30" customHeight="1" spans="1:12">
      <c r="A15" s="208" t="str">
        <f>结算审核明细表!A329</f>
        <v>二</v>
      </c>
      <c r="B15" s="364" t="str">
        <f>结算审核明细表!B329</f>
        <v>供水工程</v>
      </c>
      <c r="C15" s="368"/>
      <c r="D15" s="366">
        <f>结算审核明细表!G329</f>
        <v>0</v>
      </c>
      <c r="E15" s="366">
        <f>结算审核明细表!H329</f>
        <v>0</v>
      </c>
      <c r="F15" s="366">
        <f>结算审核明细表!L329</f>
        <v>100707.25</v>
      </c>
      <c r="G15" s="366">
        <f>结算审核明细表!M329</f>
        <v>0</v>
      </c>
      <c r="H15" s="366">
        <f ca="1">结算审核明细表!Q329</f>
        <v>5860.81084774775</v>
      </c>
      <c r="I15" s="366">
        <f>结算审核明细表!R329</f>
        <v>0</v>
      </c>
      <c r="J15" s="380">
        <f ca="1">H15-D15</f>
        <v>5860.81084774775</v>
      </c>
      <c r="K15" s="380">
        <f ca="1">H15-F15</f>
        <v>-94846.4391522522</v>
      </c>
      <c r="L15" s="367" t="s">
        <v>35</v>
      </c>
    </row>
    <row r="16" customFormat="1" ht="30" customHeight="1" spans="1:12">
      <c r="A16" s="208" t="str">
        <f>结算审核明细表!A375</f>
        <v>三</v>
      </c>
      <c r="B16" s="364" t="str">
        <f>结算审核明细表!B375</f>
        <v>库房领取管材</v>
      </c>
      <c r="C16" s="368"/>
      <c r="D16" s="366">
        <f>结算审核明细表!G375</f>
        <v>1078630.31</v>
      </c>
      <c r="E16" s="366">
        <f>结算审核明细表!H375</f>
        <v>0</v>
      </c>
      <c r="F16" s="366">
        <f>结算审核明细表!L375</f>
        <v>325192.66</v>
      </c>
      <c r="G16" s="366">
        <f>结算审核明细表!M375</f>
        <v>0</v>
      </c>
      <c r="H16" s="366">
        <f ca="1">结算审核明细表!Q375</f>
        <v>320343.32</v>
      </c>
      <c r="I16" s="366">
        <f>结算审核明细表!R375</f>
        <v>0</v>
      </c>
      <c r="J16" s="380">
        <f ca="1">H16-D16</f>
        <v>-758286.99</v>
      </c>
      <c r="K16" s="380">
        <f ca="1">H16-F16</f>
        <v>-4849.33999999997</v>
      </c>
      <c r="L16" s="367" t="s">
        <v>36</v>
      </c>
    </row>
    <row r="17" customFormat="1" ht="30" customHeight="1" spans="1:12">
      <c r="A17" s="369"/>
      <c r="B17" s="187" t="s">
        <v>37</v>
      </c>
      <c r="C17" s="370"/>
      <c r="D17" s="371">
        <f>结算审核明细表!D384</f>
        <v>63135.83</v>
      </c>
      <c r="E17" s="372"/>
      <c r="F17" s="371">
        <f>结算审核明细表!I384</f>
        <v>63135.83</v>
      </c>
      <c r="G17" s="372"/>
      <c r="H17" s="371">
        <f>结算审核明细表!N384</f>
        <v>25500</v>
      </c>
      <c r="I17" s="372"/>
      <c r="J17" s="381">
        <f t="shared" ref="J14:J22" si="2">H17-D17</f>
        <v>-37635.83</v>
      </c>
      <c r="K17" s="381">
        <f t="shared" si="0"/>
        <v>-37635.83</v>
      </c>
      <c r="L17" s="369"/>
    </row>
    <row r="18" ht="30" customHeight="1" spans="1:12">
      <c r="A18" s="367"/>
      <c r="B18" s="373" t="s">
        <v>38</v>
      </c>
      <c r="C18" s="368"/>
      <c r="D18" s="363">
        <f>D5+E5+D13+E13+D17</f>
        <v>1641531.637</v>
      </c>
      <c r="E18" s="363"/>
      <c r="F18" s="363">
        <f t="shared" ref="D18:H18" si="3">F5+G5+F13+G13+F17</f>
        <v>1048347.35</v>
      </c>
      <c r="G18" s="363"/>
      <c r="H18" s="363">
        <f ca="1" t="shared" si="3"/>
        <v>801137.186847424</v>
      </c>
      <c r="I18" s="363"/>
      <c r="J18" s="381">
        <f ca="1" t="shared" si="2"/>
        <v>-840394.450152576</v>
      </c>
      <c r="K18" s="381">
        <f ca="1" t="shared" si="0"/>
        <v>-247210.163152576</v>
      </c>
      <c r="L18" s="367"/>
    </row>
    <row r="19" ht="30" customHeight="1" spans="1:12">
      <c r="A19" s="367"/>
      <c r="B19" s="332" t="s">
        <v>39</v>
      </c>
      <c r="C19" s="368"/>
      <c r="D19" s="363">
        <f t="shared" ref="D19:H19" si="4">D16</f>
        <v>1078630.31</v>
      </c>
      <c r="E19" s="363"/>
      <c r="F19" s="363">
        <f t="shared" si="4"/>
        <v>325192.66</v>
      </c>
      <c r="G19" s="363"/>
      <c r="H19" s="363">
        <f ca="1" t="shared" si="4"/>
        <v>320343.32</v>
      </c>
      <c r="I19" s="363"/>
      <c r="J19" s="381">
        <f ca="1" t="shared" si="2"/>
        <v>-758286.99</v>
      </c>
      <c r="K19" s="381">
        <f ca="1" t="shared" si="0"/>
        <v>-4849.33999999997</v>
      </c>
      <c r="L19" s="382" t="s">
        <v>36</v>
      </c>
    </row>
    <row r="20" ht="30" customHeight="1" spans="1:12">
      <c r="A20" s="374"/>
      <c r="B20" s="332" t="s">
        <v>40</v>
      </c>
      <c r="C20" s="368"/>
      <c r="D20" s="363">
        <f t="shared" ref="D20:H20" si="5">D17</f>
        <v>63135.83</v>
      </c>
      <c r="E20" s="363"/>
      <c r="F20" s="363">
        <f t="shared" si="5"/>
        <v>63135.83</v>
      </c>
      <c r="G20" s="363"/>
      <c r="H20" s="363">
        <f>H17</f>
        <v>25500</v>
      </c>
      <c r="I20" s="363"/>
      <c r="J20" s="381">
        <f t="shared" si="2"/>
        <v>-37635.83</v>
      </c>
      <c r="K20" s="381">
        <f t="shared" si="0"/>
        <v>-37635.83</v>
      </c>
      <c r="L20" s="383"/>
    </row>
    <row r="21" ht="30" customHeight="1" spans="1:12">
      <c r="A21" s="374"/>
      <c r="B21" s="332" t="s">
        <v>41</v>
      </c>
      <c r="C21" s="368"/>
      <c r="D21" s="363">
        <f>(D18-D19-D20)*0.01*0</f>
        <v>0</v>
      </c>
      <c r="E21" s="363"/>
      <c r="F21" s="363">
        <f>(F18-F19-F20)*0.01</f>
        <v>6600.1886</v>
      </c>
      <c r="G21" s="363"/>
      <c r="H21" s="363">
        <f ca="1">(H18-H19-H20)*0.01</f>
        <v>4552.93866847424</v>
      </c>
      <c r="I21" s="363"/>
      <c r="J21" s="381">
        <f ca="1" t="shared" si="2"/>
        <v>4552.93866847424</v>
      </c>
      <c r="K21" s="381">
        <f ca="1" t="shared" si="0"/>
        <v>-2047.24993152576</v>
      </c>
      <c r="L21" s="374"/>
    </row>
    <row r="22" ht="30" customHeight="1" spans="1:12">
      <c r="A22" s="374"/>
      <c r="B22" s="118" t="s">
        <v>42</v>
      </c>
      <c r="C22" s="368"/>
      <c r="D22" s="375">
        <f>ROUND(D18-(D19+D20+D21),0)</f>
        <v>499765</v>
      </c>
      <c r="E22" s="375"/>
      <c r="F22" s="363">
        <f>ROUND(F18-(F19+F20+F21),0)</f>
        <v>653419</v>
      </c>
      <c r="G22" s="363"/>
      <c r="H22" s="363">
        <f ca="1">ROUND(H18-(H19+H20+H21),0)</f>
        <v>450741</v>
      </c>
      <c r="I22" s="363"/>
      <c r="J22" s="381">
        <f ca="1" t="shared" si="2"/>
        <v>-49024</v>
      </c>
      <c r="K22" s="381">
        <f ca="1" t="shared" si="0"/>
        <v>-202678</v>
      </c>
      <c r="L22" s="384"/>
    </row>
  </sheetData>
  <mergeCells count="29">
    <mergeCell ref="A1:L1"/>
    <mergeCell ref="A2:L2"/>
    <mergeCell ref="D3:E3"/>
    <mergeCell ref="F3:G3"/>
    <mergeCell ref="H3:I3"/>
    <mergeCell ref="J3:K3"/>
    <mergeCell ref="D17:E17"/>
    <mergeCell ref="F17:G17"/>
    <mergeCell ref="H17:I17"/>
    <mergeCell ref="D18:E18"/>
    <mergeCell ref="F18:G18"/>
    <mergeCell ref="H18:I18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D22:E22"/>
    <mergeCell ref="F22:G22"/>
    <mergeCell ref="H22:I22"/>
    <mergeCell ref="A3:A4"/>
    <mergeCell ref="B3:B4"/>
    <mergeCell ref="C3:C4"/>
    <mergeCell ref="L3:L4"/>
    <mergeCell ref="L19:L20"/>
  </mergeCells>
  <printOptions horizontalCentered="1"/>
  <pageMargins left="0.314583333333333" right="0.275" top="0.393055555555556" bottom="0.708333333333333" header="0.196527777777778" footer="0.432638888888889"/>
  <pageSetup paperSize="9" scale="92" fitToHeight="0" orientation="landscape" horizontalDpi="600"/>
  <headerFooter>
    <oddHeader>&amp;R&amp;"仿宋"&amp;10
&amp;B
第 &amp;P 页，共 &amp;N 页</oddHeader>
    <oddFooter>&amp;L&amp;"楷体"&amp;12&amp;B建设单位：&amp;C&amp;"楷体"&amp;12&amp;B施工单位：&amp;R&amp;"楷体"&amp;12&amp;B审核单位：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401"/>
  <sheetViews>
    <sheetView tabSelected="1" zoomScale="90" zoomScaleNormal="90" workbookViewId="0">
      <pane xSplit="3" ySplit="5" topLeftCell="D384" activePane="bottomRight" state="frozen"/>
      <selection/>
      <selection pane="topRight"/>
      <selection pane="bottomLeft"/>
      <selection pane="bottomRight" activeCell="B392" sqref="B392"/>
    </sheetView>
  </sheetViews>
  <sheetFormatPr defaultColWidth="9" defaultRowHeight="16.5" customHeight="1"/>
  <cols>
    <col min="1" max="1" width="6.75833333333333" style="162" customWidth="1"/>
    <col min="2" max="2" width="32.875" style="166" customWidth="1"/>
    <col min="3" max="3" width="5" style="172" customWidth="1"/>
    <col min="4" max="6" width="8.625" style="259" customWidth="1"/>
    <col min="7" max="7" width="10.125" style="259" customWidth="1"/>
    <col min="8" max="8" width="9.5" style="259" customWidth="1"/>
    <col min="9" max="11" width="9.75" style="259" customWidth="1"/>
    <col min="12" max="12" width="10.25" style="259" customWidth="1"/>
    <col min="13" max="13" width="9.75" style="259" customWidth="1"/>
    <col min="14" max="14" width="9.75" style="169" customWidth="1"/>
    <col min="15" max="16" width="8.375" style="169" customWidth="1"/>
    <col min="17" max="18" width="10.125" style="169" customWidth="1"/>
    <col min="19" max="19" width="12.125" style="260" customWidth="1"/>
    <col min="20" max="20" width="12" style="260" customWidth="1"/>
    <col min="21" max="21" width="13.625" style="261" customWidth="1"/>
    <col min="22" max="22" width="10.125" style="174" customWidth="1"/>
    <col min="23" max="23" width="9.25" style="174" customWidth="1"/>
    <col min="24" max="16384" width="9" style="174"/>
  </cols>
  <sheetData>
    <row r="1" s="158" customFormat="1" ht="36" customHeight="1" spans="1:21">
      <c r="A1" s="262" t="s">
        <v>43</v>
      </c>
      <c r="B1" s="263"/>
      <c r="C1" s="264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86"/>
      <c r="O1" s="286"/>
      <c r="P1" s="286"/>
      <c r="Q1" s="286"/>
      <c r="R1" s="286"/>
      <c r="S1" s="286"/>
      <c r="T1" s="286"/>
      <c r="U1" s="300"/>
    </row>
    <row r="2" s="158" customFormat="1" customHeight="1" spans="1:21">
      <c r="A2" s="266" t="s">
        <v>22</v>
      </c>
      <c r="B2" s="266"/>
      <c r="C2" s="266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87"/>
      <c r="O2" s="287"/>
      <c r="P2" s="287"/>
      <c r="Q2" s="287"/>
      <c r="R2" s="287"/>
      <c r="S2" s="287"/>
      <c r="T2" s="287"/>
      <c r="U2" s="301"/>
    </row>
    <row r="3" s="258" customFormat="1" customHeight="1" spans="1:21">
      <c r="A3" s="268" t="s">
        <v>44</v>
      </c>
      <c r="B3" s="187" t="s">
        <v>24</v>
      </c>
      <c r="C3" s="187" t="s">
        <v>25</v>
      </c>
      <c r="D3" s="269" t="s">
        <v>45</v>
      </c>
      <c r="E3" s="269"/>
      <c r="F3" s="269"/>
      <c r="G3" s="269"/>
      <c r="H3" s="269"/>
      <c r="I3" s="269" t="s">
        <v>46</v>
      </c>
      <c r="J3" s="269"/>
      <c r="K3" s="269"/>
      <c r="L3" s="269"/>
      <c r="M3" s="269"/>
      <c r="N3" s="288" t="s">
        <v>47</v>
      </c>
      <c r="O3" s="288"/>
      <c r="P3" s="288"/>
      <c r="Q3" s="288"/>
      <c r="R3" s="288"/>
      <c r="S3" s="288" t="s">
        <v>29</v>
      </c>
      <c r="T3" s="288"/>
      <c r="U3" s="302" t="s">
        <v>48</v>
      </c>
    </row>
    <row r="4" s="258" customFormat="1" customHeight="1" spans="1:21">
      <c r="A4" s="268"/>
      <c r="B4" s="187"/>
      <c r="C4" s="187"/>
      <c r="D4" s="270" t="s">
        <v>49</v>
      </c>
      <c r="E4" s="269" t="s">
        <v>50</v>
      </c>
      <c r="F4" s="269"/>
      <c r="G4" s="269" t="s">
        <v>51</v>
      </c>
      <c r="H4" s="269"/>
      <c r="I4" s="270" t="s">
        <v>49</v>
      </c>
      <c r="J4" s="269" t="s">
        <v>50</v>
      </c>
      <c r="K4" s="269"/>
      <c r="L4" s="269" t="s">
        <v>51</v>
      </c>
      <c r="M4" s="269"/>
      <c r="N4" s="289" t="s">
        <v>49</v>
      </c>
      <c r="O4" s="288" t="s">
        <v>50</v>
      </c>
      <c r="P4" s="288"/>
      <c r="Q4" s="288" t="s">
        <v>51</v>
      </c>
      <c r="R4" s="288"/>
      <c r="S4" s="289" t="s">
        <v>52</v>
      </c>
      <c r="T4" s="289" t="s">
        <v>53</v>
      </c>
      <c r="U4" s="303"/>
    </row>
    <row r="5" s="258" customFormat="1" customHeight="1" spans="1:21">
      <c r="A5" s="268"/>
      <c r="B5" s="187"/>
      <c r="C5" s="187"/>
      <c r="D5" s="270"/>
      <c r="E5" s="269" t="s">
        <v>31</v>
      </c>
      <c r="F5" s="269" t="s">
        <v>32</v>
      </c>
      <c r="G5" s="269" t="s">
        <v>31</v>
      </c>
      <c r="H5" s="269" t="s">
        <v>32</v>
      </c>
      <c r="I5" s="270"/>
      <c r="J5" s="269" t="s">
        <v>31</v>
      </c>
      <c r="K5" s="269" t="s">
        <v>32</v>
      </c>
      <c r="L5" s="269" t="s">
        <v>31</v>
      </c>
      <c r="M5" s="269" t="s">
        <v>32</v>
      </c>
      <c r="N5" s="289"/>
      <c r="O5" s="288" t="s">
        <v>31</v>
      </c>
      <c r="P5" s="288" t="s">
        <v>32</v>
      </c>
      <c r="Q5" s="288" t="s">
        <v>31</v>
      </c>
      <c r="R5" s="304" t="s">
        <v>32</v>
      </c>
      <c r="S5" s="289"/>
      <c r="T5" s="289"/>
      <c r="U5" s="305"/>
    </row>
    <row r="6" s="258" customFormat="1" ht="31.5" spans="1:21">
      <c r="A6" s="271"/>
      <c r="B6" s="272" t="s">
        <v>54</v>
      </c>
      <c r="C6" s="272"/>
      <c r="D6" s="273"/>
      <c r="E6" s="273"/>
      <c r="F6" s="273"/>
      <c r="G6" s="273">
        <f>G7+G78+G138+G200+G249+G294+G308</f>
        <v>280805.497</v>
      </c>
      <c r="H6" s="273"/>
      <c r="I6" s="273"/>
      <c r="J6" s="290"/>
      <c r="K6" s="290"/>
      <c r="L6" s="273">
        <v>363328.49</v>
      </c>
      <c r="M6" s="273"/>
      <c r="N6" s="291"/>
      <c r="O6" s="292"/>
      <c r="P6" s="292"/>
      <c r="Q6" s="306">
        <f ca="1">Q7+Q78+Q138+Q200+Q249+Q294+Q308</f>
        <v>293907.505062739</v>
      </c>
      <c r="R6" s="306"/>
      <c r="S6" s="306">
        <f ca="1" t="shared" ref="Q6:T6" si="0">S7+S78+S138+S200+S249+S294+S308</f>
        <v>13102.0080627393</v>
      </c>
      <c r="T6" s="306">
        <f ca="1" t="shared" si="0"/>
        <v>-69420.9849372607</v>
      </c>
      <c r="U6" s="307" t="s">
        <v>55</v>
      </c>
    </row>
    <row r="7" s="162" customFormat="1" ht="25" customHeight="1" spans="1:21">
      <c r="A7" s="274" t="str">
        <f>工程量核对表!A6</f>
        <v>一</v>
      </c>
      <c r="B7" s="275" t="str">
        <f>工程量核对表!B6</f>
        <v>张家湾供水工程</v>
      </c>
      <c r="C7" s="276"/>
      <c r="D7" s="277" t="s">
        <v>56</v>
      </c>
      <c r="E7" s="277"/>
      <c r="F7" s="277"/>
      <c r="G7" s="277">
        <f>G8+G32+G43+G51+G61+G71</f>
        <v>204570.847</v>
      </c>
      <c r="H7" s="277"/>
      <c r="I7" s="277"/>
      <c r="J7" s="293"/>
      <c r="K7" s="293"/>
      <c r="L7" s="277">
        <v>92402.32</v>
      </c>
      <c r="M7" s="277"/>
      <c r="N7" s="294"/>
      <c r="O7" s="295"/>
      <c r="P7" s="295"/>
      <c r="Q7" s="308">
        <f ca="1">Q8+Q32+Q43+Q51+Q61+Q71</f>
        <v>101299.940454724</v>
      </c>
      <c r="R7" s="308"/>
      <c r="S7" s="308">
        <f ca="1" t="shared" ref="Q7:T7" si="1">S8+S32+S43+S51+S61+S71</f>
        <v>-103270.906545276</v>
      </c>
      <c r="T7" s="308">
        <f ca="1" t="shared" si="1"/>
        <v>8897.60045472421</v>
      </c>
      <c r="U7" s="309"/>
    </row>
    <row r="8" s="162" customFormat="1" ht="25" customHeight="1" spans="1:21">
      <c r="A8" s="278" t="str">
        <f>工程量核对表!A7</f>
        <v>（一）</v>
      </c>
      <c r="B8" s="279" t="str">
        <f>工程量核对表!B7</f>
        <v>蓄水池工程</v>
      </c>
      <c r="C8" s="280"/>
      <c r="D8" s="281"/>
      <c r="E8" s="281"/>
      <c r="F8" s="281"/>
      <c r="G8" s="281">
        <f>SUM(G9:G31)</f>
        <v>119918.223</v>
      </c>
      <c r="H8" s="281"/>
      <c r="I8" s="281"/>
      <c r="J8" s="285"/>
      <c r="K8" s="285"/>
      <c r="L8" s="281">
        <v>56425.35</v>
      </c>
      <c r="M8" s="281"/>
      <c r="N8" s="296"/>
      <c r="O8" s="297"/>
      <c r="P8" s="297"/>
      <c r="Q8" s="310">
        <f ca="1">SUM(Q9:Q31)</f>
        <v>81715.3209576268</v>
      </c>
      <c r="R8" s="310"/>
      <c r="S8" s="310">
        <f ca="1">SUM(S9:S31)</f>
        <v>-38202.9020423732</v>
      </c>
      <c r="T8" s="310">
        <f ca="1">SUM(T9:T31)</f>
        <v>25289.9609576268</v>
      </c>
      <c r="U8" s="311"/>
    </row>
    <row r="9" s="162" customFormat="1" ht="25" customHeight="1" spans="1:21">
      <c r="A9" s="208">
        <f>工程量核对表!A8</f>
        <v>1</v>
      </c>
      <c r="B9" s="282" t="str">
        <f>工程量核对表!B8</f>
        <v>土方开挖</v>
      </c>
      <c r="C9" s="210" t="str">
        <f>工程量核对表!C8</f>
        <v>m3</v>
      </c>
      <c r="D9" s="283">
        <v>73.84</v>
      </c>
      <c r="E9" s="283">
        <v>11.6</v>
      </c>
      <c r="F9" s="283"/>
      <c r="G9" s="283">
        <v>856.5</v>
      </c>
      <c r="H9" s="283"/>
      <c r="I9" s="283">
        <v>31.5</v>
      </c>
      <c r="J9" s="284">
        <v>19.7</v>
      </c>
      <c r="K9" s="284"/>
      <c r="L9" s="283">
        <v>620.55</v>
      </c>
      <c r="M9" s="283"/>
      <c r="N9" s="298">
        <f ca="1">工程量核对表!F8</f>
        <v>31.5</v>
      </c>
      <c r="O9" s="213">
        <f>O33</f>
        <v>12.15</v>
      </c>
      <c r="P9" s="213"/>
      <c r="Q9" s="312">
        <f ca="1">N9*O9</f>
        <v>382.725</v>
      </c>
      <c r="R9" s="312"/>
      <c r="S9" s="213">
        <f ca="1" t="shared" ref="S9:S31" si="2">Q9-G9</f>
        <v>-473.775</v>
      </c>
      <c r="T9" s="298">
        <f ca="1" t="shared" ref="T9:T31" si="3">Q9-L9</f>
        <v>-237.825</v>
      </c>
      <c r="U9" s="313" t="s">
        <v>45</v>
      </c>
    </row>
    <row r="10" s="162" customFormat="1" ht="25" customHeight="1" spans="1:21">
      <c r="A10" s="208">
        <f>工程量核对表!A9</f>
        <v>2</v>
      </c>
      <c r="B10" s="282" t="str">
        <f>工程量核对表!B9</f>
        <v>石方开挖</v>
      </c>
      <c r="C10" s="210" t="str">
        <f>工程量核对表!C9</f>
        <v>m3</v>
      </c>
      <c r="D10" s="283">
        <v>110.75</v>
      </c>
      <c r="E10" s="283">
        <v>51.97</v>
      </c>
      <c r="F10" s="283"/>
      <c r="G10" s="283">
        <v>5755.875</v>
      </c>
      <c r="H10" s="283"/>
      <c r="I10" s="283">
        <v>93.7</v>
      </c>
      <c r="J10" s="284">
        <v>57.04</v>
      </c>
      <c r="K10" s="284"/>
      <c r="L10" s="283">
        <v>5344.42</v>
      </c>
      <c r="M10" s="283"/>
      <c r="N10" s="298">
        <f ca="1">工程量核对表!F9</f>
        <v>93.696</v>
      </c>
      <c r="O10" s="213">
        <f>O41</f>
        <v>53.28</v>
      </c>
      <c r="P10" s="213"/>
      <c r="Q10" s="312">
        <f ca="1">N10*O10</f>
        <v>4992.12288</v>
      </c>
      <c r="R10" s="312"/>
      <c r="S10" s="213">
        <f ca="1" t="shared" si="2"/>
        <v>-763.75212</v>
      </c>
      <c r="T10" s="298">
        <f ca="1" t="shared" si="3"/>
        <v>-352.29712</v>
      </c>
      <c r="U10" s="313" t="s">
        <v>45</v>
      </c>
    </row>
    <row r="11" s="162" customFormat="1" ht="25" customHeight="1" spans="1:21">
      <c r="A11" s="208">
        <f>工程量核对表!A10</f>
        <v>3</v>
      </c>
      <c r="B11" s="282" t="str">
        <f>工程量核对表!B10</f>
        <v>土石方回填</v>
      </c>
      <c r="C11" s="210" t="str">
        <f>工程量核对表!C10</f>
        <v>m3</v>
      </c>
      <c r="D11" s="283">
        <v>52.58</v>
      </c>
      <c r="E11" s="283">
        <v>13.28</v>
      </c>
      <c r="F11" s="283"/>
      <c r="G11" s="283">
        <v>698.205</v>
      </c>
      <c r="H11" s="283"/>
      <c r="I11" s="283"/>
      <c r="J11" s="284"/>
      <c r="K11" s="284"/>
      <c r="L11" s="283"/>
      <c r="M11" s="283"/>
      <c r="N11" s="298">
        <f ca="1">工程量核对表!F10</f>
        <v>0</v>
      </c>
      <c r="O11" s="213">
        <f>O42</f>
        <v>12.18</v>
      </c>
      <c r="P11" s="213"/>
      <c r="Q11" s="312">
        <f ca="1">N11*O11</f>
        <v>0</v>
      </c>
      <c r="R11" s="312"/>
      <c r="S11" s="213">
        <f ca="1" t="shared" si="2"/>
        <v>-698.205</v>
      </c>
      <c r="T11" s="298">
        <f ca="1" t="shared" si="3"/>
        <v>0</v>
      </c>
      <c r="U11" s="313" t="s">
        <v>45</v>
      </c>
    </row>
    <row r="12" s="162" customFormat="1" ht="25" customHeight="1" spans="1:21">
      <c r="A12" s="215">
        <f>工程量核对表!A11</f>
        <v>4</v>
      </c>
      <c r="B12" s="282" t="str">
        <f>工程量核对表!B11</f>
        <v>C25砼 2级配 32.5水泥 粒径40mm（底板）</v>
      </c>
      <c r="C12" s="210" t="str">
        <f>工程量核对表!C11</f>
        <v>m3</v>
      </c>
      <c r="D12" s="283">
        <v>12.96</v>
      </c>
      <c r="E12" s="283">
        <v>462.3</v>
      </c>
      <c r="F12" s="283"/>
      <c r="G12" s="283">
        <v>5991.408</v>
      </c>
      <c r="H12" s="283"/>
      <c r="I12" s="283">
        <v>5.3</v>
      </c>
      <c r="J12" s="284">
        <v>537.51</v>
      </c>
      <c r="K12" s="284"/>
      <c r="L12" s="283">
        <v>2849.34</v>
      </c>
      <c r="M12" s="283"/>
      <c r="N12" s="298">
        <f ca="1">工程量核对表!F11</f>
        <v>3.534</v>
      </c>
      <c r="O12" s="213">
        <f>O34</f>
        <v>452.81</v>
      </c>
      <c r="P12" s="213"/>
      <c r="Q12" s="312">
        <f ca="1" t="shared" ref="Q12:Q20" si="4">N12*O12</f>
        <v>1600.23054</v>
      </c>
      <c r="R12" s="312"/>
      <c r="S12" s="213">
        <f ca="1" t="shared" si="2"/>
        <v>-4391.17746</v>
      </c>
      <c r="T12" s="298">
        <f ca="1" t="shared" si="3"/>
        <v>-1249.10946</v>
      </c>
      <c r="U12" s="313" t="s">
        <v>45</v>
      </c>
    </row>
    <row r="13" s="162" customFormat="1" ht="25" customHeight="1" spans="1:21">
      <c r="A13" s="216"/>
      <c r="B13" s="282" t="str">
        <f>工程量核对表!B12</f>
        <v>C25砼 2级配 32.5水泥 粒径40mm（顶板）</v>
      </c>
      <c r="C13" s="210" t="str">
        <f>工程量核对表!C12</f>
        <v>m3</v>
      </c>
      <c r="D13" s="283"/>
      <c r="E13" s="283"/>
      <c r="F13" s="283"/>
      <c r="G13" s="283"/>
      <c r="H13" s="283"/>
      <c r="I13" s="283">
        <v>4.29</v>
      </c>
      <c r="J13" s="284">
        <v>592.81</v>
      </c>
      <c r="K13" s="284"/>
      <c r="L13" s="283">
        <v>2543.15</v>
      </c>
      <c r="M13" s="283"/>
      <c r="N13" s="298">
        <f ca="1">工程量核对表!F12</f>
        <v>4.086927</v>
      </c>
      <c r="O13" s="213">
        <f>O34</f>
        <v>452.81</v>
      </c>
      <c r="P13" s="213"/>
      <c r="Q13" s="312">
        <f ca="1" t="shared" si="4"/>
        <v>1850.60141487</v>
      </c>
      <c r="R13" s="312"/>
      <c r="S13" s="213">
        <f ca="1" t="shared" si="2"/>
        <v>1850.60141487</v>
      </c>
      <c r="T13" s="298">
        <f ca="1" t="shared" si="3"/>
        <v>-692.54858513</v>
      </c>
      <c r="U13" s="313" t="s">
        <v>45</v>
      </c>
    </row>
    <row r="14" s="162" customFormat="1" ht="25" customHeight="1" spans="1:21">
      <c r="A14" s="216"/>
      <c r="B14" s="282" t="str">
        <f>工程量核对表!B13</f>
        <v>C25砼 2级配 32.5水泥 粒径40mm（梁）</v>
      </c>
      <c r="C14" s="210" t="str">
        <f>工程量核对表!C13</f>
        <v>m3</v>
      </c>
      <c r="D14" s="283"/>
      <c r="E14" s="283"/>
      <c r="F14" s="283"/>
      <c r="G14" s="283"/>
      <c r="H14" s="283"/>
      <c r="I14" s="283">
        <v>1.04</v>
      </c>
      <c r="J14" s="284">
        <v>592.81</v>
      </c>
      <c r="K14" s="284"/>
      <c r="L14" s="283">
        <v>613.56</v>
      </c>
      <c r="M14" s="283"/>
      <c r="N14" s="298">
        <f ca="1">工程量核对表!F13</f>
        <v>0.9216</v>
      </c>
      <c r="O14" s="213">
        <f>O34</f>
        <v>452.81</v>
      </c>
      <c r="P14" s="213"/>
      <c r="Q14" s="312">
        <f ca="1" t="shared" si="4"/>
        <v>417.309696</v>
      </c>
      <c r="R14" s="312"/>
      <c r="S14" s="213">
        <f ca="1" t="shared" si="2"/>
        <v>417.309696</v>
      </c>
      <c r="T14" s="298">
        <f ca="1" t="shared" si="3"/>
        <v>-196.250304</v>
      </c>
      <c r="U14" s="313" t="s">
        <v>45</v>
      </c>
    </row>
    <row r="15" s="162" customFormat="1" ht="25" customHeight="1" spans="1:21">
      <c r="A15" s="217"/>
      <c r="B15" s="282" t="str">
        <f>工程量核对表!B14</f>
        <v>C25砼 2级配 32.5水泥 粒径40mm（侧墙）</v>
      </c>
      <c r="C15" s="210" t="str">
        <f>工程量核对表!C14</f>
        <v>m3</v>
      </c>
      <c r="D15" s="283"/>
      <c r="E15" s="283"/>
      <c r="F15" s="283"/>
      <c r="G15" s="283"/>
      <c r="H15" s="283"/>
      <c r="I15" s="283">
        <v>17.11</v>
      </c>
      <c r="J15" s="284">
        <v>558.92</v>
      </c>
      <c r="K15" s="284"/>
      <c r="L15" s="283">
        <v>9564.24</v>
      </c>
      <c r="M15" s="283"/>
      <c r="N15" s="298">
        <f ca="1">工程量核对表!F14</f>
        <v>16.39776</v>
      </c>
      <c r="O15" s="213">
        <f>O34</f>
        <v>452.81</v>
      </c>
      <c r="P15" s="213"/>
      <c r="Q15" s="312">
        <f ca="1" t="shared" si="4"/>
        <v>7425.0697056</v>
      </c>
      <c r="R15" s="312"/>
      <c r="S15" s="213">
        <f ca="1" t="shared" si="2"/>
        <v>7425.0697056</v>
      </c>
      <c r="T15" s="298">
        <f ca="1" t="shared" si="3"/>
        <v>-2139.1702944</v>
      </c>
      <c r="U15" s="313" t="s">
        <v>45</v>
      </c>
    </row>
    <row r="16" s="162" customFormat="1" ht="25" customHeight="1" spans="1:21">
      <c r="A16" s="208">
        <f>工程量核对表!A15</f>
        <v>5</v>
      </c>
      <c r="B16" s="282" t="str">
        <f>工程量核对表!B15</f>
        <v>M7.5砌砖</v>
      </c>
      <c r="C16" s="210" t="str">
        <f>工程量核对表!C15</f>
        <v>m3</v>
      </c>
      <c r="D16" s="283">
        <v>23.7</v>
      </c>
      <c r="E16" s="283">
        <v>442.25</v>
      </c>
      <c r="F16" s="283"/>
      <c r="G16" s="283">
        <v>10481.325</v>
      </c>
      <c r="H16" s="283"/>
      <c r="I16" s="283"/>
      <c r="J16" s="284"/>
      <c r="K16" s="284"/>
      <c r="L16" s="283"/>
      <c r="M16" s="283"/>
      <c r="N16" s="298">
        <f ca="1">工程量核对表!F15</f>
        <v>0</v>
      </c>
      <c r="O16" s="213">
        <f>O36</f>
        <v>418.59</v>
      </c>
      <c r="P16" s="213"/>
      <c r="Q16" s="312">
        <f ca="1" t="shared" si="4"/>
        <v>0</v>
      </c>
      <c r="R16" s="312"/>
      <c r="S16" s="213">
        <f ca="1" t="shared" si="2"/>
        <v>-10481.325</v>
      </c>
      <c r="T16" s="298">
        <f ca="1" t="shared" si="3"/>
        <v>0</v>
      </c>
      <c r="U16" s="313" t="s">
        <v>45</v>
      </c>
    </row>
    <row r="17" s="162" customFormat="1" ht="25" customHeight="1" spans="1:21">
      <c r="A17" s="208">
        <f>工程量核对表!A16</f>
        <v>6</v>
      </c>
      <c r="B17" s="282" t="str">
        <f>工程量核对表!B16</f>
        <v>木模制安</v>
      </c>
      <c r="C17" s="210" t="str">
        <f>工程量核对表!C16</f>
        <v>m2</v>
      </c>
      <c r="D17" s="283">
        <v>76.05</v>
      </c>
      <c r="E17" s="283">
        <v>58.41</v>
      </c>
      <c r="F17" s="283"/>
      <c r="G17" s="283">
        <v>4442.08</v>
      </c>
      <c r="H17" s="283"/>
      <c r="I17" s="283">
        <v>187.16</v>
      </c>
      <c r="J17" s="284">
        <v>58.41</v>
      </c>
      <c r="K17" s="284"/>
      <c r="L17" s="283">
        <v>10931.88</v>
      </c>
      <c r="M17" s="283"/>
      <c r="N17" s="298">
        <f ca="1">工程量核对表!F16</f>
        <v>176.3003</v>
      </c>
      <c r="O17" s="213">
        <f>O37</f>
        <v>59.86</v>
      </c>
      <c r="P17" s="213"/>
      <c r="Q17" s="312">
        <f ca="1" t="shared" si="4"/>
        <v>10553.335958</v>
      </c>
      <c r="R17" s="312"/>
      <c r="S17" s="213">
        <f ca="1" t="shared" si="2"/>
        <v>6111.255958</v>
      </c>
      <c r="T17" s="298">
        <f ca="1" t="shared" si="3"/>
        <v>-378.544041999998</v>
      </c>
      <c r="U17" s="313" t="s">
        <v>45</v>
      </c>
    </row>
    <row r="18" s="162" customFormat="1" ht="25" customHeight="1" spans="1:21">
      <c r="A18" s="208">
        <f>工程量核对表!A17</f>
        <v>7</v>
      </c>
      <c r="B18" s="282" t="str">
        <f>工程量核对表!B17</f>
        <v>钢筋制安</v>
      </c>
      <c r="C18" s="210" t="s">
        <v>57</v>
      </c>
      <c r="D18" s="283">
        <v>705.6</v>
      </c>
      <c r="E18" s="283">
        <v>5.66</v>
      </c>
      <c r="F18" s="283"/>
      <c r="G18" s="283">
        <v>3993.7</v>
      </c>
      <c r="H18" s="283"/>
      <c r="I18" s="283">
        <v>1.65</v>
      </c>
      <c r="J18" s="284">
        <v>6596.11</v>
      </c>
      <c r="K18" s="284"/>
      <c r="L18" s="283">
        <v>10903.86</v>
      </c>
      <c r="M18" s="283"/>
      <c r="N18" s="298">
        <f ca="1">工程量核对表!F17/1000</f>
        <v>1.40754412</v>
      </c>
      <c r="O18" s="213">
        <v>5920</v>
      </c>
      <c r="P18" s="213"/>
      <c r="Q18" s="312">
        <f ca="1" t="shared" si="4"/>
        <v>8332.6611904</v>
      </c>
      <c r="R18" s="312"/>
      <c r="S18" s="213">
        <f ca="1" t="shared" si="2"/>
        <v>4338.9611904</v>
      </c>
      <c r="T18" s="298">
        <f ca="1" t="shared" si="3"/>
        <v>-2571.1988096</v>
      </c>
      <c r="U18" s="313" t="s">
        <v>58</v>
      </c>
    </row>
    <row r="19" s="162" customFormat="1" ht="25" customHeight="1" spans="1:21">
      <c r="A19" s="208">
        <f>工程量核对表!A18</f>
        <v>8</v>
      </c>
      <c r="B19" s="282" t="str">
        <f>工程量核对表!B18</f>
        <v>M10沙浆抹面</v>
      </c>
      <c r="C19" s="210" t="str">
        <f>工程量核对表!C18</f>
        <v>m2</v>
      </c>
      <c r="D19" s="283">
        <v>107.96</v>
      </c>
      <c r="E19" s="283">
        <v>12.36</v>
      </c>
      <c r="F19" s="283"/>
      <c r="G19" s="283">
        <v>1334.39</v>
      </c>
      <c r="H19" s="283"/>
      <c r="I19" s="283">
        <v>93.06</v>
      </c>
      <c r="J19" s="284">
        <v>17.05</v>
      </c>
      <c r="K19" s="284"/>
      <c r="L19" s="283">
        <v>1586.65</v>
      </c>
      <c r="M19" s="283"/>
      <c r="N19" s="298">
        <f ca="1">工程量核对表!F18</f>
        <v>0</v>
      </c>
      <c r="O19" s="213">
        <f>O39</f>
        <v>11.93</v>
      </c>
      <c r="P19" s="213"/>
      <c r="Q19" s="312">
        <f ca="1" t="shared" si="4"/>
        <v>0</v>
      </c>
      <c r="R19" s="312"/>
      <c r="S19" s="213">
        <f ca="1" t="shared" si="2"/>
        <v>-1334.39</v>
      </c>
      <c r="T19" s="298">
        <f ca="1" t="shared" si="3"/>
        <v>-1586.65</v>
      </c>
      <c r="U19" s="313" t="s">
        <v>45</v>
      </c>
    </row>
    <row r="20" s="162" customFormat="1" ht="25" customHeight="1" spans="1:21">
      <c r="A20" s="208">
        <f>工程量核对表!A19</f>
        <v>9</v>
      </c>
      <c r="B20" s="282" t="str">
        <f>工程量核对表!B19</f>
        <v>M10沙浆抹面瓷砖粘贴</v>
      </c>
      <c r="C20" s="210" t="str">
        <f>工程量核对表!C19</f>
        <v>m2</v>
      </c>
      <c r="D20" s="283">
        <v>13.8</v>
      </c>
      <c r="E20" s="284">
        <v>95.34</v>
      </c>
      <c r="F20" s="283"/>
      <c r="G20" s="283">
        <v>1315.69</v>
      </c>
      <c r="H20" s="283"/>
      <c r="I20" s="283">
        <v>38.85</v>
      </c>
      <c r="J20" s="284">
        <v>95.34</v>
      </c>
      <c r="K20" s="284"/>
      <c r="L20" s="283">
        <v>3703.96</v>
      </c>
      <c r="M20" s="283"/>
      <c r="N20" s="298">
        <f ca="1">工程量核对表!F19</f>
        <v>20.71</v>
      </c>
      <c r="O20" s="213">
        <f>E20/1.11*1.0319</f>
        <v>88.6318432432432</v>
      </c>
      <c r="P20" s="213"/>
      <c r="Q20" s="312">
        <f ca="1" t="shared" si="4"/>
        <v>1835.56547356757</v>
      </c>
      <c r="R20" s="312"/>
      <c r="S20" s="213">
        <f ca="1" t="shared" si="2"/>
        <v>519.875473567567</v>
      </c>
      <c r="T20" s="298">
        <f ca="1" t="shared" si="3"/>
        <v>-1868.39452643243</v>
      </c>
      <c r="U20" s="313" t="s">
        <v>45</v>
      </c>
    </row>
    <row r="21" s="162" customFormat="1" ht="25" customHeight="1" spans="1:21">
      <c r="A21" s="208">
        <f>工程量核对表!A20</f>
        <v>10</v>
      </c>
      <c r="B21" s="282" t="str">
        <f>工程量核对表!B20</f>
        <v>人力二次转运材料（运距300米)</v>
      </c>
      <c r="C21" s="210" t="str">
        <f>工程量核对表!C20</f>
        <v>吨/km</v>
      </c>
      <c r="D21" s="283">
        <v>90.16</v>
      </c>
      <c r="E21" s="284">
        <v>300</v>
      </c>
      <c r="F21" s="283"/>
      <c r="G21" s="283">
        <v>27049.05</v>
      </c>
      <c r="H21" s="283"/>
      <c r="I21" s="283"/>
      <c r="J21" s="284"/>
      <c r="K21" s="284"/>
      <c r="L21" s="283"/>
      <c r="M21" s="283"/>
      <c r="N21" s="298"/>
      <c r="O21" s="213"/>
      <c r="P21" s="213"/>
      <c r="Q21" s="312"/>
      <c r="R21" s="312"/>
      <c r="S21" s="213">
        <f t="shared" si="2"/>
        <v>-27049.05</v>
      </c>
      <c r="T21" s="298">
        <f t="shared" si="3"/>
        <v>0</v>
      </c>
      <c r="U21" s="313"/>
    </row>
    <row r="22" s="162" customFormat="1" ht="25" customHeight="1" spans="1:21">
      <c r="A22" s="208">
        <f>工程量核对表!A21</f>
        <v>11</v>
      </c>
      <c r="B22" s="282" t="str">
        <f>工程量核对表!B21</f>
        <v>通气进人孔</v>
      </c>
      <c r="C22" s="210" t="str">
        <f>工程量核对表!C21</f>
        <v>套</v>
      </c>
      <c r="D22" s="283">
        <v>2</v>
      </c>
      <c r="E22" s="283">
        <v>500</v>
      </c>
      <c r="F22" s="283"/>
      <c r="G22" s="283">
        <v>1000</v>
      </c>
      <c r="H22" s="283"/>
      <c r="I22" s="283">
        <v>1</v>
      </c>
      <c r="J22" s="284">
        <v>500</v>
      </c>
      <c r="K22" s="284"/>
      <c r="L22" s="283">
        <v>500</v>
      </c>
      <c r="M22" s="283"/>
      <c r="N22" s="298">
        <f ca="1">工程量核对表!F21</f>
        <v>1</v>
      </c>
      <c r="O22" s="213">
        <f>E22/1.11*1.0319</f>
        <v>464.81981981982</v>
      </c>
      <c r="P22" s="213"/>
      <c r="Q22" s="312">
        <f ca="1" t="shared" ref="Q22:Q31" si="5">N22*O22</f>
        <v>464.81981981982</v>
      </c>
      <c r="R22" s="312"/>
      <c r="S22" s="213">
        <f ca="1" t="shared" si="2"/>
        <v>-535.18018018018</v>
      </c>
      <c r="T22" s="298">
        <f ca="1" t="shared" si="3"/>
        <v>-35.18018018018</v>
      </c>
      <c r="U22" s="313" t="s">
        <v>45</v>
      </c>
    </row>
    <row r="23" s="162" customFormat="1" ht="25" customHeight="1" spans="1:21">
      <c r="A23" s="208">
        <f>工程量核对表!A22</f>
        <v>12</v>
      </c>
      <c r="B23" s="282" t="str">
        <f>工程量核对表!B22</f>
        <v>电力线</v>
      </c>
      <c r="C23" s="210" t="str">
        <f>工程量核对表!C22</f>
        <v>m</v>
      </c>
      <c r="D23" s="283">
        <v>0</v>
      </c>
      <c r="E23" s="283">
        <v>50</v>
      </c>
      <c r="F23" s="283"/>
      <c r="G23" s="283">
        <v>0</v>
      </c>
      <c r="H23" s="283"/>
      <c r="I23" s="283"/>
      <c r="J23" s="284"/>
      <c r="K23" s="284"/>
      <c r="L23" s="283"/>
      <c r="M23" s="283"/>
      <c r="N23" s="298">
        <f ca="1">工程量核对表!F22</f>
        <v>150</v>
      </c>
      <c r="O23" s="213">
        <f>E23/1.11*1.0319</f>
        <v>46.481981981982</v>
      </c>
      <c r="P23" s="213"/>
      <c r="Q23" s="312">
        <f ca="1" t="shared" si="5"/>
        <v>6972.2972972973</v>
      </c>
      <c r="R23" s="312"/>
      <c r="S23" s="213">
        <f ca="1" t="shared" si="2"/>
        <v>6972.2972972973</v>
      </c>
      <c r="T23" s="298">
        <f ca="1" t="shared" si="3"/>
        <v>6972.2972972973</v>
      </c>
      <c r="U23" s="313" t="s">
        <v>45</v>
      </c>
    </row>
    <row r="24" s="162" customFormat="1" ht="25" customHeight="1" spans="1:21">
      <c r="A24" s="208">
        <f>工程量核对表!A23</f>
        <v>13</v>
      </c>
      <c r="B24" s="282" t="str">
        <f>工程量核对表!B23</f>
        <v>杀毒器</v>
      </c>
      <c r="C24" s="210" t="str">
        <f>工程量核对表!C23</f>
        <v>台</v>
      </c>
      <c r="D24" s="283">
        <v>4</v>
      </c>
      <c r="E24" s="283">
        <v>8000</v>
      </c>
      <c r="F24" s="283"/>
      <c r="G24" s="283">
        <v>32000</v>
      </c>
      <c r="H24" s="283"/>
      <c r="I24" s="283"/>
      <c r="J24" s="284"/>
      <c r="K24" s="284"/>
      <c r="L24" s="283"/>
      <c r="M24" s="283"/>
      <c r="N24" s="298">
        <f ca="1">工程量核对表!F23</f>
        <v>1</v>
      </c>
      <c r="O24" s="213">
        <f>E24/1.11*1.0319</f>
        <v>7437.11711711712</v>
      </c>
      <c r="P24" s="213"/>
      <c r="Q24" s="312">
        <f ca="1" t="shared" si="5"/>
        <v>7437.11711711712</v>
      </c>
      <c r="R24" s="312"/>
      <c r="S24" s="213">
        <f ca="1" t="shared" si="2"/>
        <v>-24562.8828828829</v>
      </c>
      <c r="T24" s="298">
        <f ca="1" t="shared" si="3"/>
        <v>7437.11711711712</v>
      </c>
      <c r="U24" s="313" t="s">
        <v>45</v>
      </c>
    </row>
    <row r="25" s="162" customFormat="1" ht="25" customHeight="1" spans="1:21">
      <c r="A25" s="208">
        <f>工程量核对表!A24</f>
        <v>14</v>
      </c>
      <c r="B25" s="282" t="str">
        <f>工程量核对表!B24</f>
        <v>抽水泵（200m）</v>
      </c>
      <c r="C25" s="210" t="str">
        <f>工程量核对表!C24</f>
        <v>台</v>
      </c>
      <c r="D25" s="283"/>
      <c r="E25" s="283">
        <v>25000</v>
      </c>
      <c r="F25" s="283"/>
      <c r="G25" s="283">
        <v>0</v>
      </c>
      <c r="H25" s="283"/>
      <c r="I25" s="283"/>
      <c r="J25" s="284"/>
      <c r="K25" s="284"/>
      <c r="L25" s="283"/>
      <c r="M25" s="283"/>
      <c r="N25" s="298">
        <f ca="1">工程量核对表!F24</f>
        <v>0</v>
      </c>
      <c r="O25" s="213">
        <f>E25/1.11*1.0319</f>
        <v>23240.990990991</v>
      </c>
      <c r="P25" s="213"/>
      <c r="Q25" s="312">
        <f ca="1" t="shared" si="5"/>
        <v>0</v>
      </c>
      <c r="R25" s="312"/>
      <c r="S25" s="213">
        <f ca="1" t="shared" si="2"/>
        <v>0</v>
      </c>
      <c r="T25" s="298">
        <f ca="1" t="shared" si="3"/>
        <v>0</v>
      </c>
      <c r="U25" s="313" t="s">
        <v>45</v>
      </c>
    </row>
    <row r="26" s="162" customFormat="1" ht="25" customHeight="1" spans="1:21">
      <c r="A26" s="208">
        <f>工程量核对表!A25</f>
        <v>15</v>
      </c>
      <c r="B26" s="282" t="str">
        <f>工程量核对表!B25</f>
        <v>一体化净化器</v>
      </c>
      <c r="C26" s="210" t="str">
        <f>工程量核对表!C25</f>
        <v>台</v>
      </c>
      <c r="D26" s="283">
        <v>1</v>
      </c>
      <c r="E26" s="283">
        <v>25000</v>
      </c>
      <c r="F26" s="283"/>
      <c r="G26" s="283">
        <v>25000</v>
      </c>
      <c r="H26" s="283"/>
      <c r="I26" s="283"/>
      <c r="J26" s="284"/>
      <c r="K26" s="284"/>
      <c r="L26" s="283"/>
      <c r="M26" s="283"/>
      <c r="N26" s="298">
        <f ca="1">工程量核对表!F25</f>
        <v>1</v>
      </c>
      <c r="O26" s="213">
        <f>E26/1.11*1.0319</f>
        <v>23240.990990991</v>
      </c>
      <c r="P26" s="213"/>
      <c r="Q26" s="312">
        <f ca="1" t="shared" si="5"/>
        <v>23240.990990991</v>
      </c>
      <c r="R26" s="312"/>
      <c r="S26" s="213">
        <f ca="1" t="shared" si="2"/>
        <v>-1759.009009009</v>
      </c>
      <c r="T26" s="298">
        <f ca="1" t="shared" si="3"/>
        <v>23240.990990991</v>
      </c>
      <c r="U26" s="313" t="s">
        <v>45</v>
      </c>
    </row>
    <row r="27" s="162" customFormat="1" ht="25" customHeight="1" spans="1:21">
      <c r="A27" s="208" t="str">
        <f>工程量核对表!A26</f>
        <v>新增</v>
      </c>
      <c r="B27" s="282" t="str">
        <f>工程量核对表!B26</f>
        <v>C20砼垫层</v>
      </c>
      <c r="C27" s="210" t="str">
        <f>工程量核对表!C26</f>
        <v>m3</v>
      </c>
      <c r="D27" s="283"/>
      <c r="E27" s="283"/>
      <c r="F27" s="283"/>
      <c r="G27" s="283"/>
      <c r="H27" s="283"/>
      <c r="I27" s="283">
        <v>1.77</v>
      </c>
      <c r="J27" s="284">
        <v>531.58</v>
      </c>
      <c r="K27" s="284"/>
      <c r="L27" s="283">
        <v>939.3</v>
      </c>
      <c r="M27" s="299"/>
      <c r="N27" s="298">
        <f ca="1">工程量核对表!F26</f>
        <v>1.767</v>
      </c>
      <c r="O27" s="213">
        <v>448.73</v>
      </c>
      <c r="P27" s="213"/>
      <c r="Q27" s="312">
        <f ca="1" t="shared" si="5"/>
        <v>792.90591</v>
      </c>
      <c r="R27" s="312"/>
      <c r="S27" s="213">
        <f ca="1" t="shared" si="2"/>
        <v>792.90591</v>
      </c>
      <c r="T27" s="298">
        <f ca="1" t="shared" si="3"/>
        <v>-146.39409</v>
      </c>
      <c r="U27" s="313" t="s">
        <v>59</v>
      </c>
    </row>
    <row r="28" s="162" customFormat="1" ht="25" customHeight="1" spans="1:21">
      <c r="A28" s="208" t="str">
        <f>工程量核对表!A27</f>
        <v>新增</v>
      </c>
      <c r="B28" s="282" t="str">
        <f>工程量核对表!B27</f>
        <v>爬梯制安</v>
      </c>
      <c r="C28" s="210" t="str">
        <f>工程量核对表!C27</f>
        <v>步</v>
      </c>
      <c r="D28" s="283"/>
      <c r="E28" s="283"/>
      <c r="F28" s="283"/>
      <c r="G28" s="283"/>
      <c r="H28" s="283"/>
      <c r="I28" s="283">
        <v>9</v>
      </c>
      <c r="J28" s="284">
        <v>61.4</v>
      </c>
      <c r="K28" s="284"/>
      <c r="L28" s="283">
        <v>552.6</v>
      </c>
      <c r="M28" s="283"/>
      <c r="N28" s="298">
        <f ca="1">工程量核对表!F27</f>
        <v>9</v>
      </c>
      <c r="O28" s="213">
        <f t="shared" ref="O28:O31" si="6">J28/1.11*1.0319</f>
        <v>57.0798738738739</v>
      </c>
      <c r="P28" s="213"/>
      <c r="Q28" s="312">
        <f ca="1" t="shared" si="5"/>
        <v>513.718864864865</v>
      </c>
      <c r="R28" s="312"/>
      <c r="S28" s="213">
        <f ca="1" t="shared" si="2"/>
        <v>513.718864864865</v>
      </c>
      <c r="T28" s="298">
        <f ca="1" t="shared" si="3"/>
        <v>-38.881135135135</v>
      </c>
      <c r="U28" s="313" t="s">
        <v>60</v>
      </c>
    </row>
    <row r="29" s="162" customFormat="1" ht="25" customHeight="1" spans="1:21">
      <c r="A29" s="208" t="str">
        <f>工程量核对表!A28</f>
        <v>新增</v>
      </c>
      <c r="B29" s="282" t="str">
        <f>工程量核对表!B28</f>
        <v>脚手架</v>
      </c>
      <c r="C29" s="210" t="str">
        <f>工程量核对表!C28</f>
        <v>m2</v>
      </c>
      <c r="D29" s="283"/>
      <c r="E29" s="283"/>
      <c r="F29" s="283"/>
      <c r="G29" s="283"/>
      <c r="H29" s="283"/>
      <c r="I29" s="283">
        <v>27.71</v>
      </c>
      <c r="J29" s="284">
        <v>17.93</v>
      </c>
      <c r="K29" s="284"/>
      <c r="L29" s="283">
        <v>496.85</v>
      </c>
      <c r="M29" s="283"/>
      <c r="N29" s="298">
        <f ca="1">工程量核对表!F28</f>
        <v>0</v>
      </c>
      <c r="O29" s="213">
        <f t="shared" si="6"/>
        <v>16.6684387387387</v>
      </c>
      <c r="P29" s="213"/>
      <c r="Q29" s="312">
        <f ca="1" t="shared" si="5"/>
        <v>0</v>
      </c>
      <c r="R29" s="312"/>
      <c r="S29" s="213">
        <f ca="1" t="shared" si="2"/>
        <v>0</v>
      </c>
      <c r="T29" s="298">
        <f ca="1" t="shared" si="3"/>
        <v>-496.85</v>
      </c>
      <c r="U29" s="313"/>
    </row>
    <row r="30" s="162" customFormat="1" ht="25" customHeight="1" spans="1:21">
      <c r="A30" s="208" t="str">
        <f>工程量核对表!A29</f>
        <v>新增</v>
      </c>
      <c r="B30" s="282" t="str">
        <f>工程量核对表!B29</f>
        <v>池顶不锈钢护栏</v>
      </c>
      <c r="C30" s="210" t="str">
        <f>工程量核对表!C29</f>
        <v>m2</v>
      </c>
      <c r="D30" s="283"/>
      <c r="E30" s="284"/>
      <c r="F30" s="283"/>
      <c r="G30" s="283"/>
      <c r="H30" s="283"/>
      <c r="I30" s="283">
        <v>34.5</v>
      </c>
      <c r="J30" s="284">
        <v>150</v>
      </c>
      <c r="K30" s="284"/>
      <c r="L30" s="283">
        <v>5175</v>
      </c>
      <c r="M30" s="283"/>
      <c r="N30" s="298">
        <f ca="1">工程量核对表!F29</f>
        <v>34.5</v>
      </c>
      <c r="O30" s="213">
        <f>E50/1.11*1.0319</f>
        <v>139.445945945946</v>
      </c>
      <c r="P30" s="213"/>
      <c r="Q30" s="312">
        <f ca="1" t="shared" si="5"/>
        <v>4810.88513513514</v>
      </c>
      <c r="R30" s="312"/>
      <c r="S30" s="213">
        <f ca="1" t="shared" si="2"/>
        <v>4810.88513513514</v>
      </c>
      <c r="T30" s="298">
        <f ca="1" t="shared" si="3"/>
        <v>-364.114864864863</v>
      </c>
      <c r="U30" s="313" t="s">
        <v>45</v>
      </c>
    </row>
    <row r="31" s="162" customFormat="1" ht="25" customHeight="1" spans="1:21">
      <c r="A31" s="208" t="str">
        <f>工程量核对表!A30</f>
        <v>新增</v>
      </c>
      <c r="B31" s="282" t="str">
        <f>工程量核对表!B30</f>
        <v>饮水安全标志牌</v>
      </c>
      <c r="C31" s="210" t="str">
        <f>工程量核对表!C30</f>
        <v>个</v>
      </c>
      <c r="D31" s="283"/>
      <c r="E31" s="284"/>
      <c r="F31" s="283"/>
      <c r="G31" s="283"/>
      <c r="H31" s="283"/>
      <c r="I31" s="283">
        <v>1</v>
      </c>
      <c r="J31" s="284">
        <v>100</v>
      </c>
      <c r="K31" s="284"/>
      <c r="L31" s="283">
        <v>100</v>
      </c>
      <c r="M31" s="283"/>
      <c r="N31" s="298">
        <f ca="1">工程量核对表!F30</f>
        <v>1</v>
      </c>
      <c r="O31" s="213">
        <f t="shared" si="6"/>
        <v>92.963963963964</v>
      </c>
      <c r="P31" s="213"/>
      <c r="Q31" s="312">
        <f ca="1" t="shared" si="5"/>
        <v>92.963963963964</v>
      </c>
      <c r="R31" s="312"/>
      <c r="S31" s="213">
        <f ca="1" t="shared" si="2"/>
        <v>92.963963963964</v>
      </c>
      <c r="T31" s="298">
        <f ca="1" t="shared" si="3"/>
        <v>-7.03603603603599</v>
      </c>
      <c r="U31" s="313" t="s">
        <v>60</v>
      </c>
    </row>
    <row r="32" s="162" customFormat="1" ht="25" customHeight="1" spans="1:21">
      <c r="A32" s="278" t="str">
        <f>工程量核对表!A31</f>
        <v>（二）</v>
      </c>
      <c r="B32" s="279" t="str">
        <f>工程量核对表!B31</f>
        <v>过滤池（集水池工程）</v>
      </c>
      <c r="C32" s="280"/>
      <c r="D32" s="281"/>
      <c r="E32" s="281"/>
      <c r="F32" s="281"/>
      <c r="G32" s="281">
        <f>SUM(G33:G42)</f>
        <v>16089.424</v>
      </c>
      <c r="H32" s="281"/>
      <c r="I32" s="281"/>
      <c r="J32" s="285"/>
      <c r="K32" s="285"/>
      <c r="L32" s="281">
        <v>2458.91</v>
      </c>
      <c r="M32" s="281"/>
      <c r="N32" s="296"/>
      <c r="O32" s="297"/>
      <c r="P32" s="297"/>
      <c r="Q32" s="310">
        <f ca="1">SUM(Q33:Q42)</f>
        <v>1497.20380972973</v>
      </c>
      <c r="R32" s="310"/>
      <c r="S32" s="310">
        <f ca="1" t="shared" ref="Q32:T32" si="7">SUM(S33:S42)</f>
        <v>-14592.2201902703</v>
      </c>
      <c r="T32" s="310">
        <f ca="1" t="shared" si="7"/>
        <v>-961.70619027027</v>
      </c>
      <c r="U32" s="311"/>
    </row>
    <row r="33" s="162" customFormat="1" ht="25" customHeight="1" spans="1:21">
      <c r="A33" s="208">
        <f>工程量核对表!A32</f>
        <v>1</v>
      </c>
      <c r="B33" s="282" t="str">
        <f>工程量核对表!B32</f>
        <v>土方开挖</v>
      </c>
      <c r="C33" s="210" t="str">
        <f>工程量核对表!C32</f>
        <v>m3</v>
      </c>
      <c r="D33" s="283">
        <v>6.24</v>
      </c>
      <c r="E33" s="283">
        <v>11.6</v>
      </c>
      <c r="F33" s="283"/>
      <c r="G33" s="283">
        <f>D33*E33</f>
        <v>72.384</v>
      </c>
      <c r="H33" s="283"/>
      <c r="I33" s="283">
        <v>2.65</v>
      </c>
      <c r="J33" s="284">
        <v>19.7</v>
      </c>
      <c r="K33" s="284"/>
      <c r="L33" s="283">
        <v>52.13</v>
      </c>
      <c r="M33" s="283"/>
      <c r="N33" s="298">
        <f ca="1">工程量核对表!F32</f>
        <v>2.646</v>
      </c>
      <c r="O33" s="213">
        <v>12.15</v>
      </c>
      <c r="P33" s="213"/>
      <c r="Q33" s="312">
        <f ca="1" t="shared" ref="Q33:Q42" si="8">N33*O33</f>
        <v>32.1489</v>
      </c>
      <c r="R33" s="312"/>
      <c r="S33" s="213">
        <f ca="1" t="shared" ref="S33:S42" si="9">Q33-G33</f>
        <v>-40.2351</v>
      </c>
      <c r="T33" s="298">
        <f ca="1" t="shared" ref="T33:T42" si="10">Q33-L33</f>
        <v>-19.9811</v>
      </c>
      <c r="U33" s="313" t="s">
        <v>45</v>
      </c>
    </row>
    <row r="34" s="162" customFormat="1" ht="25" customHeight="1" spans="1:21">
      <c r="A34" s="208">
        <f>工程量核对表!A33</f>
        <v>2</v>
      </c>
      <c r="B34" s="282" t="str">
        <f>工程量核对表!B33</f>
        <v>C25混凝土底板浇筑</v>
      </c>
      <c r="C34" s="210" t="str">
        <f>工程量核对表!C33</f>
        <v>m3</v>
      </c>
      <c r="D34" s="283">
        <v>4</v>
      </c>
      <c r="E34" s="283">
        <v>462.3</v>
      </c>
      <c r="F34" s="283"/>
      <c r="G34" s="283">
        <f t="shared" ref="G34:G40" si="11">D34*E34</f>
        <v>1849.2</v>
      </c>
      <c r="H34" s="283"/>
      <c r="I34" s="283">
        <v>0.34</v>
      </c>
      <c r="J34" s="284">
        <v>537.51</v>
      </c>
      <c r="K34" s="284"/>
      <c r="L34" s="283">
        <v>182.75</v>
      </c>
      <c r="M34" s="283"/>
      <c r="N34" s="298">
        <f ca="1">工程量核对表!F33</f>
        <v>0.34</v>
      </c>
      <c r="O34" s="213">
        <v>452.81</v>
      </c>
      <c r="P34" s="213"/>
      <c r="Q34" s="312">
        <f ca="1" t="shared" si="8"/>
        <v>153.9554</v>
      </c>
      <c r="R34" s="312"/>
      <c r="S34" s="213">
        <f ca="1" t="shared" si="9"/>
        <v>-1695.2446</v>
      </c>
      <c r="T34" s="298">
        <f ca="1" t="shared" si="10"/>
        <v>-28.7946</v>
      </c>
      <c r="U34" s="313" t="s">
        <v>45</v>
      </c>
    </row>
    <row r="35" s="162" customFormat="1" ht="25" customHeight="1" spans="1:21">
      <c r="A35" s="208">
        <f>工程量核对表!A34</f>
        <v>3</v>
      </c>
      <c r="B35" s="282" t="str">
        <f>工程量核对表!B34</f>
        <v>C25混凝土顶板浇筑</v>
      </c>
      <c r="C35" s="210" t="str">
        <f>工程量核对表!C34</f>
        <v>m3</v>
      </c>
      <c r="D35" s="283">
        <v>2.4</v>
      </c>
      <c r="E35" s="283">
        <v>462.3</v>
      </c>
      <c r="F35" s="283"/>
      <c r="G35" s="283">
        <f t="shared" si="11"/>
        <v>1109.52</v>
      </c>
      <c r="H35" s="283"/>
      <c r="I35" s="283">
        <v>0.34</v>
      </c>
      <c r="J35" s="284">
        <v>592.81</v>
      </c>
      <c r="K35" s="284"/>
      <c r="L35" s="283">
        <v>201.56</v>
      </c>
      <c r="M35" s="283"/>
      <c r="N35" s="298">
        <f ca="1">工程量核对表!F34</f>
        <v>0.034</v>
      </c>
      <c r="O35" s="213">
        <f>O34</f>
        <v>452.81</v>
      </c>
      <c r="P35" s="213"/>
      <c r="Q35" s="312">
        <f ca="1" t="shared" si="8"/>
        <v>15.39554</v>
      </c>
      <c r="R35" s="312"/>
      <c r="S35" s="213">
        <f ca="1" t="shared" si="9"/>
        <v>-1094.12446</v>
      </c>
      <c r="T35" s="298">
        <f ca="1" t="shared" si="10"/>
        <v>-186.16446</v>
      </c>
      <c r="U35" s="313" t="s">
        <v>45</v>
      </c>
    </row>
    <row r="36" s="162" customFormat="1" ht="25" customHeight="1" spans="1:21">
      <c r="A36" s="208">
        <f>工程量核对表!A35</f>
        <v>4</v>
      </c>
      <c r="B36" s="282" t="str">
        <f>工程量核对表!B35</f>
        <v>M7.5砖砌</v>
      </c>
      <c r="C36" s="210" t="str">
        <f>工程量核对表!C35</f>
        <v>m3</v>
      </c>
      <c r="D36" s="283">
        <v>14.4</v>
      </c>
      <c r="E36" s="283">
        <v>420</v>
      </c>
      <c r="F36" s="283"/>
      <c r="G36" s="283">
        <f t="shared" si="11"/>
        <v>6048</v>
      </c>
      <c r="H36" s="283"/>
      <c r="I36" s="283">
        <v>1.78</v>
      </c>
      <c r="J36" s="284">
        <v>582.15</v>
      </c>
      <c r="K36" s="284"/>
      <c r="L36" s="283">
        <v>1033.9</v>
      </c>
      <c r="M36" s="283"/>
      <c r="N36" s="298">
        <f ca="1">工程量核对表!F35</f>
        <v>1.5456</v>
      </c>
      <c r="O36" s="213">
        <v>418.59</v>
      </c>
      <c r="P36" s="213"/>
      <c r="Q36" s="312">
        <f ca="1" t="shared" si="8"/>
        <v>646.972704</v>
      </c>
      <c r="R36" s="312"/>
      <c r="S36" s="213">
        <f ca="1" t="shared" si="9"/>
        <v>-5401.027296</v>
      </c>
      <c r="T36" s="298">
        <f ca="1" t="shared" si="10"/>
        <v>-386.927296</v>
      </c>
      <c r="U36" s="313" t="s">
        <v>45</v>
      </c>
    </row>
    <row r="37" s="162" customFormat="1" ht="25" customHeight="1" spans="1:21">
      <c r="A37" s="208">
        <f>工程量核对表!A36</f>
        <v>5</v>
      </c>
      <c r="B37" s="282" t="str">
        <f>工程量核对表!B36</f>
        <v>木模制安</v>
      </c>
      <c r="C37" s="210" t="str">
        <f>工程量核对表!C36</f>
        <v>m2</v>
      </c>
      <c r="D37" s="283">
        <v>24</v>
      </c>
      <c r="E37" s="283">
        <v>58.41</v>
      </c>
      <c r="F37" s="283"/>
      <c r="G37" s="283">
        <f t="shared" si="11"/>
        <v>1401.84</v>
      </c>
      <c r="H37" s="283"/>
      <c r="I37" s="283">
        <v>2.54</v>
      </c>
      <c r="J37" s="284">
        <v>58.41</v>
      </c>
      <c r="K37" s="284"/>
      <c r="L37" s="283">
        <v>148.36</v>
      </c>
      <c r="M37" s="283"/>
      <c r="N37" s="298">
        <f ca="1">工程量核对表!F36</f>
        <v>2.54</v>
      </c>
      <c r="O37" s="213">
        <v>59.86</v>
      </c>
      <c r="P37" s="213"/>
      <c r="Q37" s="312">
        <f ca="1" t="shared" si="8"/>
        <v>152.0444</v>
      </c>
      <c r="R37" s="312"/>
      <c r="S37" s="213">
        <f ca="1" t="shared" si="9"/>
        <v>-1249.7956</v>
      </c>
      <c r="T37" s="298">
        <f ca="1" t="shared" si="10"/>
        <v>3.68439999999998</v>
      </c>
      <c r="U37" s="313" t="s">
        <v>45</v>
      </c>
    </row>
    <row r="38" s="162" customFormat="1" ht="25" customHeight="1" spans="1:21">
      <c r="A38" s="208">
        <f>工程量核对表!A37</f>
        <v>6</v>
      </c>
      <c r="B38" s="282" t="str">
        <f>工程量核对表!B37</f>
        <v>钢筋制安</v>
      </c>
      <c r="C38" s="210" t="s">
        <v>57</v>
      </c>
      <c r="D38" s="283">
        <v>200</v>
      </c>
      <c r="E38" s="283">
        <v>5.66</v>
      </c>
      <c r="F38" s="283"/>
      <c r="G38" s="283">
        <f t="shared" si="11"/>
        <v>1132</v>
      </c>
      <c r="H38" s="283"/>
      <c r="I38" s="283">
        <v>0.02</v>
      </c>
      <c r="J38" s="284">
        <v>6596.11</v>
      </c>
      <c r="K38" s="284"/>
      <c r="L38" s="283">
        <v>122.34</v>
      </c>
      <c r="M38" s="283"/>
      <c r="N38" s="298">
        <f ca="1">工程量核对表!F37/1000</f>
        <v>0.0182648</v>
      </c>
      <c r="O38" s="213">
        <v>5920</v>
      </c>
      <c r="P38" s="213"/>
      <c r="Q38" s="312">
        <f ca="1" t="shared" si="8"/>
        <v>108.127616</v>
      </c>
      <c r="R38" s="312"/>
      <c r="S38" s="213">
        <f ca="1" t="shared" si="9"/>
        <v>-1023.872384</v>
      </c>
      <c r="T38" s="298">
        <f ca="1" t="shared" si="10"/>
        <v>-14.212384</v>
      </c>
      <c r="U38" s="313" t="s">
        <v>58</v>
      </c>
    </row>
    <row r="39" s="162" customFormat="1" ht="25" customHeight="1" spans="1:21">
      <c r="A39" s="208">
        <f>工程量核对表!A38</f>
        <v>7</v>
      </c>
      <c r="B39" s="282" t="str">
        <f>工程量核对表!B38</f>
        <v>M10沙浆抹面</v>
      </c>
      <c r="C39" s="210" t="str">
        <f>工程量核对表!C38</f>
        <v>m2</v>
      </c>
      <c r="D39" s="283">
        <v>168</v>
      </c>
      <c r="E39" s="283">
        <v>12.36</v>
      </c>
      <c r="F39" s="283"/>
      <c r="G39" s="283">
        <f t="shared" si="11"/>
        <v>2076.48</v>
      </c>
      <c r="H39" s="283"/>
      <c r="I39" s="283">
        <v>7.78</v>
      </c>
      <c r="J39" s="284">
        <v>17.05</v>
      </c>
      <c r="K39" s="284"/>
      <c r="L39" s="283">
        <v>132.58</v>
      </c>
      <c r="M39" s="283"/>
      <c r="N39" s="298">
        <f ca="1">工程量核对表!F38</f>
        <v>7.776</v>
      </c>
      <c r="O39" s="213">
        <v>11.93</v>
      </c>
      <c r="P39" s="213"/>
      <c r="Q39" s="312">
        <f ca="1" t="shared" si="8"/>
        <v>92.76768</v>
      </c>
      <c r="R39" s="312"/>
      <c r="S39" s="213">
        <f ca="1" t="shared" si="9"/>
        <v>-1983.71232</v>
      </c>
      <c r="T39" s="298">
        <f ca="1" t="shared" si="10"/>
        <v>-39.81232</v>
      </c>
      <c r="U39" s="313" t="s">
        <v>45</v>
      </c>
    </row>
    <row r="40" s="162" customFormat="1" ht="25" customHeight="1" spans="1:21">
      <c r="A40" s="208">
        <f>工程量核对表!A39</f>
        <v>8</v>
      </c>
      <c r="B40" s="282" t="str">
        <f>工程量核对表!B39</f>
        <v>砂石滤料</v>
      </c>
      <c r="C40" s="210" t="str">
        <f>工程量核对表!C39</f>
        <v>m3</v>
      </c>
      <c r="D40" s="283">
        <v>16</v>
      </c>
      <c r="E40" s="283">
        <v>150</v>
      </c>
      <c r="F40" s="283"/>
      <c r="G40" s="283">
        <f t="shared" si="11"/>
        <v>2400</v>
      </c>
      <c r="H40" s="283"/>
      <c r="I40" s="283">
        <v>1.71</v>
      </c>
      <c r="J40" s="284">
        <v>270.26</v>
      </c>
      <c r="K40" s="284"/>
      <c r="L40" s="283">
        <v>462.34</v>
      </c>
      <c r="M40" s="283"/>
      <c r="N40" s="298">
        <f ca="1">工程量核对表!F39</f>
        <v>1.48352</v>
      </c>
      <c r="O40" s="213">
        <f>E40/1.11*1.0319</f>
        <v>139.445945945946</v>
      </c>
      <c r="P40" s="213"/>
      <c r="Q40" s="312">
        <f ca="1" t="shared" si="8"/>
        <v>206.87084972973</v>
      </c>
      <c r="R40" s="312"/>
      <c r="S40" s="213">
        <f ca="1" t="shared" si="9"/>
        <v>-2193.12915027027</v>
      </c>
      <c r="T40" s="298">
        <f ca="1" t="shared" si="10"/>
        <v>-255.46915027027</v>
      </c>
      <c r="U40" s="313" t="s">
        <v>45</v>
      </c>
    </row>
    <row r="41" s="162" customFormat="1" ht="25" customHeight="1" spans="1:21">
      <c r="A41" s="208" t="str">
        <f>工程量核对表!A40</f>
        <v>新增</v>
      </c>
      <c r="B41" s="282" t="str">
        <f>工程量核对表!B40</f>
        <v>石方开挖</v>
      </c>
      <c r="C41" s="210" t="str">
        <f>工程量核对表!C40</f>
        <v>m3</v>
      </c>
      <c r="D41" s="283"/>
      <c r="E41" s="283"/>
      <c r="F41" s="283"/>
      <c r="G41" s="283"/>
      <c r="H41" s="283"/>
      <c r="I41" s="283">
        <v>1.13</v>
      </c>
      <c r="J41" s="284">
        <v>57.04</v>
      </c>
      <c r="K41" s="284"/>
      <c r="L41" s="283">
        <v>64.68</v>
      </c>
      <c r="M41" s="283"/>
      <c r="N41" s="298">
        <f ca="1">工程量核对表!F40</f>
        <v>1.134</v>
      </c>
      <c r="O41" s="213">
        <v>53.28</v>
      </c>
      <c r="P41" s="213"/>
      <c r="Q41" s="312">
        <f ca="1" t="shared" si="8"/>
        <v>60.41952</v>
      </c>
      <c r="R41" s="312"/>
      <c r="S41" s="213">
        <f ca="1" t="shared" si="9"/>
        <v>60.41952</v>
      </c>
      <c r="T41" s="298">
        <f ca="1" t="shared" si="10"/>
        <v>-4.26048</v>
      </c>
      <c r="U41" s="313" t="s">
        <v>45</v>
      </c>
    </row>
    <row r="42" s="162" customFormat="1" ht="25" customHeight="1" spans="1:21">
      <c r="A42" s="208" t="str">
        <f>工程量核对表!A41</f>
        <v>新增</v>
      </c>
      <c r="B42" s="282" t="str">
        <f>工程量核对表!B41</f>
        <v>土石方回填</v>
      </c>
      <c r="C42" s="210" t="str">
        <f>工程量核对表!C41</f>
        <v>m3</v>
      </c>
      <c r="D42" s="283"/>
      <c r="E42" s="283"/>
      <c r="F42" s="283"/>
      <c r="G42" s="283"/>
      <c r="H42" s="283"/>
      <c r="I42" s="283">
        <v>2.34</v>
      </c>
      <c r="J42" s="284">
        <v>24.9</v>
      </c>
      <c r="K42" s="284"/>
      <c r="L42" s="283">
        <v>58.27</v>
      </c>
      <c r="M42" s="283"/>
      <c r="N42" s="298">
        <f ca="1">工程量核对表!F41</f>
        <v>2.34</v>
      </c>
      <c r="O42" s="213">
        <v>12.18</v>
      </c>
      <c r="P42" s="213"/>
      <c r="Q42" s="312">
        <f ca="1" t="shared" si="8"/>
        <v>28.5012</v>
      </c>
      <c r="R42" s="312"/>
      <c r="S42" s="213">
        <f ca="1" t="shared" si="9"/>
        <v>28.5012</v>
      </c>
      <c r="T42" s="298">
        <f ca="1" t="shared" si="10"/>
        <v>-29.7688</v>
      </c>
      <c r="U42" s="313" t="s">
        <v>45</v>
      </c>
    </row>
    <row r="43" s="162" customFormat="1" ht="25" customHeight="1" spans="1:21">
      <c r="A43" s="278" t="str">
        <f>工程量核对表!A42</f>
        <v>（三）</v>
      </c>
      <c r="B43" s="279" t="str">
        <f>工程量核对表!B42</f>
        <v>5m蓄水池厂区工程（张家湾、长湾）</v>
      </c>
      <c r="C43" s="280"/>
      <c r="D43" s="281"/>
      <c r="E43" s="285"/>
      <c r="F43" s="281"/>
      <c r="G43" s="281">
        <f>SUM(G44:G50)</f>
        <v>57101.47</v>
      </c>
      <c r="H43" s="281"/>
      <c r="I43" s="281"/>
      <c r="J43" s="285"/>
      <c r="K43" s="285"/>
      <c r="L43" s="281">
        <v>0</v>
      </c>
      <c r="M43" s="281"/>
      <c r="N43" s="296"/>
      <c r="O43" s="297"/>
      <c r="P43" s="297"/>
      <c r="Q43" s="310">
        <f ca="1">SUM(Q44:Q50)</f>
        <v>0</v>
      </c>
      <c r="R43" s="310"/>
      <c r="S43" s="310">
        <f ca="1">SUM(S44:S50)</f>
        <v>-57101.47</v>
      </c>
      <c r="T43" s="310">
        <f ca="1">SUM(T44:T50)</f>
        <v>0</v>
      </c>
      <c r="U43" s="311" t="s">
        <v>61</v>
      </c>
    </row>
    <row r="44" s="162" customFormat="1" ht="25" customHeight="1" spans="1:21">
      <c r="A44" s="208">
        <f>工程量核对表!A43</f>
        <v>1</v>
      </c>
      <c r="B44" s="282" t="str">
        <f>工程量核对表!B43</f>
        <v>C25砼厂区硬化</v>
      </c>
      <c r="C44" s="210" t="str">
        <f>工程量核对表!C43</f>
        <v>m3</v>
      </c>
      <c r="D44" s="283">
        <v>19.32</v>
      </c>
      <c r="E44" s="283">
        <v>462.3</v>
      </c>
      <c r="F44" s="283"/>
      <c r="G44" s="283">
        <v>8931.64</v>
      </c>
      <c r="H44" s="283"/>
      <c r="I44" s="283"/>
      <c r="J44" s="284"/>
      <c r="K44" s="284"/>
      <c r="L44" s="283"/>
      <c r="M44" s="283"/>
      <c r="N44" s="298">
        <f ca="1">工程量核对表!F43</f>
        <v>0</v>
      </c>
      <c r="O44" s="213">
        <f>O34</f>
        <v>452.81</v>
      </c>
      <c r="P44" s="213"/>
      <c r="Q44" s="312">
        <f ca="1" t="shared" ref="Q44:Q50" si="12">N44*O44</f>
        <v>0</v>
      </c>
      <c r="R44" s="312"/>
      <c r="S44" s="213">
        <f ca="1" t="shared" ref="S44:S50" si="13">Q44-G44</f>
        <v>-8931.64</v>
      </c>
      <c r="T44" s="298">
        <f ca="1" t="shared" ref="T44:T50" si="14">Q44-L44</f>
        <v>0</v>
      </c>
      <c r="U44" s="313" t="s">
        <v>45</v>
      </c>
    </row>
    <row r="45" s="162" customFormat="1" ht="25" customHeight="1" spans="1:21">
      <c r="A45" s="208">
        <f>工程量核对表!A44</f>
        <v>2</v>
      </c>
      <c r="B45" s="282" t="str">
        <f>工程量核对表!B44</f>
        <v>C25圈梁基础</v>
      </c>
      <c r="C45" s="210" t="str">
        <f>工程量核对表!C44</f>
        <v>m3</v>
      </c>
      <c r="D45" s="283">
        <v>2.1</v>
      </c>
      <c r="E45" s="283">
        <v>462.3</v>
      </c>
      <c r="F45" s="283"/>
      <c r="G45" s="283">
        <v>970.83</v>
      </c>
      <c r="H45" s="283"/>
      <c r="I45" s="283"/>
      <c r="J45" s="284"/>
      <c r="K45" s="284"/>
      <c r="L45" s="283"/>
      <c r="M45" s="283"/>
      <c r="N45" s="298">
        <f ca="1">工程量核对表!F44</f>
        <v>0</v>
      </c>
      <c r="O45" s="213">
        <f>O34</f>
        <v>452.81</v>
      </c>
      <c r="P45" s="213"/>
      <c r="Q45" s="312">
        <f ca="1" t="shared" si="12"/>
        <v>0</v>
      </c>
      <c r="R45" s="312"/>
      <c r="S45" s="213">
        <f ca="1" t="shared" si="13"/>
        <v>-970.83</v>
      </c>
      <c r="T45" s="298">
        <f ca="1" t="shared" si="14"/>
        <v>0</v>
      </c>
      <c r="U45" s="313" t="s">
        <v>45</v>
      </c>
    </row>
    <row r="46" s="162" customFormat="1" ht="25" customHeight="1" spans="1:21">
      <c r="A46" s="208">
        <f>工程量核对表!A45</f>
        <v>3</v>
      </c>
      <c r="B46" s="282" t="str">
        <f>工程量核对表!B45</f>
        <v>钢筋制安</v>
      </c>
      <c r="C46" s="210" t="s">
        <v>57</v>
      </c>
      <c r="D46" s="283">
        <v>120</v>
      </c>
      <c r="E46" s="283">
        <v>5.66</v>
      </c>
      <c r="F46" s="283"/>
      <c r="G46" s="283">
        <v>679.2</v>
      </c>
      <c r="H46" s="283"/>
      <c r="I46" s="283"/>
      <c r="J46" s="284"/>
      <c r="K46" s="284"/>
      <c r="L46" s="283"/>
      <c r="M46" s="283"/>
      <c r="N46" s="298">
        <f ca="1">工程量核对表!F45</f>
        <v>0</v>
      </c>
      <c r="O46" s="213">
        <f>O38</f>
        <v>5920</v>
      </c>
      <c r="P46" s="213"/>
      <c r="Q46" s="312">
        <f ca="1" t="shared" si="12"/>
        <v>0</v>
      </c>
      <c r="R46" s="312"/>
      <c r="S46" s="213">
        <f ca="1" t="shared" si="13"/>
        <v>-679.2</v>
      </c>
      <c r="T46" s="298">
        <f ca="1" t="shared" si="14"/>
        <v>0</v>
      </c>
      <c r="U46" s="313" t="s">
        <v>58</v>
      </c>
    </row>
    <row r="47" s="162" customFormat="1" ht="25" customHeight="1" spans="1:21">
      <c r="A47" s="208">
        <f>工程量核对表!A46</f>
        <v>4</v>
      </c>
      <c r="B47" s="282" t="str">
        <f>工程量核对表!B46</f>
        <v>M7.5砖砌围墙</v>
      </c>
      <c r="C47" s="210" t="str">
        <f>工程量核对表!C46</f>
        <v>m3</v>
      </c>
      <c r="D47" s="283">
        <v>18.94</v>
      </c>
      <c r="E47" s="283">
        <v>442.25</v>
      </c>
      <c r="F47" s="283"/>
      <c r="G47" s="283">
        <v>8376.22</v>
      </c>
      <c r="H47" s="283"/>
      <c r="I47" s="283"/>
      <c r="J47" s="284"/>
      <c r="K47" s="284"/>
      <c r="L47" s="283"/>
      <c r="M47" s="283"/>
      <c r="N47" s="298">
        <f ca="1">工程量核对表!F46</f>
        <v>0</v>
      </c>
      <c r="O47" s="213">
        <f>O16</f>
        <v>418.59</v>
      </c>
      <c r="P47" s="213"/>
      <c r="Q47" s="312">
        <f ca="1" t="shared" si="12"/>
        <v>0</v>
      </c>
      <c r="R47" s="312"/>
      <c r="S47" s="213">
        <f ca="1" t="shared" si="13"/>
        <v>-8376.22</v>
      </c>
      <c r="T47" s="298">
        <f ca="1" t="shared" si="14"/>
        <v>0</v>
      </c>
      <c r="U47" s="313" t="s">
        <v>45</v>
      </c>
    </row>
    <row r="48" s="162" customFormat="1" ht="25" customHeight="1" spans="1:21">
      <c r="A48" s="208">
        <f>工程量核对表!A47</f>
        <v>5</v>
      </c>
      <c r="B48" s="282" t="str">
        <f>工程量核对表!B47</f>
        <v>墙面瓷砖粘贴</v>
      </c>
      <c r="C48" s="210" t="str">
        <f>工程量核对表!C47</f>
        <v>m2</v>
      </c>
      <c r="D48" s="283">
        <v>181.42</v>
      </c>
      <c r="E48" s="283">
        <v>95.34</v>
      </c>
      <c r="F48" s="283"/>
      <c r="G48" s="283">
        <v>17296.58</v>
      </c>
      <c r="H48" s="283"/>
      <c r="I48" s="283"/>
      <c r="J48" s="284"/>
      <c r="K48" s="284"/>
      <c r="L48" s="283"/>
      <c r="M48" s="283"/>
      <c r="N48" s="298">
        <f ca="1">工程量核对表!F47</f>
        <v>0</v>
      </c>
      <c r="O48" s="213">
        <f>O20</f>
        <v>88.6318432432432</v>
      </c>
      <c r="P48" s="213"/>
      <c r="Q48" s="312">
        <f ca="1" t="shared" si="12"/>
        <v>0</v>
      </c>
      <c r="R48" s="312"/>
      <c r="S48" s="213">
        <f ca="1" t="shared" si="13"/>
        <v>-17296.58</v>
      </c>
      <c r="T48" s="298">
        <f ca="1" t="shared" si="14"/>
        <v>0</v>
      </c>
      <c r="U48" s="313" t="s">
        <v>45</v>
      </c>
    </row>
    <row r="49" s="162" customFormat="1" ht="25" customHeight="1" spans="1:21">
      <c r="A49" s="208">
        <f>工程量核对表!A48</f>
        <v>6</v>
      </c>
      <c r="B49" s="282" t="str">
        <f>工程量核对表!B48</f>
        <v>不锈钢大门</v>
      </c>
      <c r="C49" s="210" t="str">
        <f>工程量核对表!C48</f>
        <v>m2</v>
      </c>
      <c r="D49" s="283">
        <v>12.5</v>
      </c>
      <c r="E49" s="283">
        <v>247.92</v>
      </c>
      <c r="F49" s="283"/>
      <c r="G49" s="283">
        <v>3099</v>
      </c>
      <c r="H49" s="283"/>
      <c r="I49" s="283"/>
      <c r="J49" s="284"/>
      <c r="K49" s="284"/>
      <c r="L49" s="283"/>
      <c r="M49" s="283"/>
      <c r="N49" s="298">
        <f ca="1">工程量核对表!F48</f>
        <v>0</v>
      </c>
      <c r="O49" s="213">
        <f>E49/1.11*1.0319</f>
        <v>230.476259459459</v>
      </c>
      <c r="P49" s="213"/>
      <c r="Q49" s="312">
        <f ca="1" t="shared" si="12"/>
        <v>0</v>
      </c>
      <c r="R49" s="312"/>
      <c r="S49" s="213">
        <f ca="1" t="shared" si="13"/>
        <v>-3099</v>
      </c>
      <c r="T49" s="298">
        <f ca="1" t="shared" si="14"/>
        <v>0</v>
      </c>
      <c r="U49" s="313" t="s">
        <v>45</v>
      </c>
    </row>
    <row r="50" s="162" customFormat="1" ht="25" customHeight="1" spans="1:21">
      <c r="A50" s="208">
        <f>工程量核对表!A49</f>
        <v>7</v>
      </c>
      <c r="B50" s="282" t="str">
        <f>工程量核对表!B49</f>
        <v>不锈钢护栏</v>
      </c>
      <c r="C50" s="210" t="str">
        <f>工程量核对表!C49</f>
        <v>m2</v>
      </c>
      <c r="D50" s="283">
        <v>118.32</v>
      </c>
      <c r="E50" s="284">
        <v>150</v>
      </c>
      <c r="F50" s="283"/>
      <c r="G50" s="283">
        <v>17748</v>
      </c>
      <c r="H50" s="283"/>
      <c r="I50" s="283"/>
      <c r="J50" s="284"/>
      <c r="K50" s="284"/>
      <c r="L50" s="283"/>
      <c r="M50" s="283"/>
      <c r="N50" s="298">
        <f ca="1">工程量核对表!F49</f>
        <v>0</v>
      </c>
      <c r="O50" s="213">
        <f>O30</f>
        <v>139.445945945946</v>
      </c>
      <c r="P50" s="213"/>
      <c r="Q50" s="312">
        <f ca="1" t="shared" si="12"/>
        <v>0</v>
      </c>
      <c r="R50" s="312"/>
      <c r="S50" s="213">
        <f ca="1" t="shared" si="13"/>
        <v>-17748</v>
      </c>
      <c r="T50" s="298">
        <f ca="1" t="shared" si="14"/>
        <v>0</v>
      </c>
      <c r="U50" s="313" t="s">
        <v>45</v>
      </c>
    </row>
    <row r="51" s="162" customFormat="1" ht="25" customHeight="1" spans="1:21">
      <c r="A51" s="278" t="str">
        <f>工程量核对表!A50</f>
        <v>（四）</v>
      </c>
      <c r="B51" s="279" t="str">
        <f>工程量核对表!B50</f>
        <v>闸室工程</v>
      </c>
      <c r="C51" s="280" t="str">
        <f>工程量核对表!C50</f>
        <v>个</v>
      </c>
      <c r="D51" s="281"/>
      <c r="E51" s="285"/>
      <c r="F51" s="281"/>
      <c r="G51" s="281">
        <f>SUM(G52:G60)</f>
        <v>11461.73</v>
      </c>
      <c r="H51" s="281"/>
      <c r="I51" s="281"/>
      <c r="J51" s="285"/>
      <c r="K51" s="285"/>
      <c r="L51" s="281">
        <v>1824.62</v>
      </c>
      <c r="M51" s="281"/>
      <c r="N51" s="296"/>
      <c r="O51" s="297"/>
      <c r="P51" s="297"/>
      <c r="Q51" s="310">
        <f ca="1">SUM(Q52:Q60)</f>
        <v>1241.148328</v>
      </c>
      <c r="R51" s="310"/>
      <c r="S51" s="310">
        <f ca="1">SUM(S52:S60)</f>
        <v>-10220.581672</v>
      </c>
      <c r="T51" s="310">
        <f ca="1">SUM(T52:T60)</f>
        <v>-583.481672</v>
      </c>
      <c r="U51" s="311" t="s">
        <v>62</v>
      </c>
    </row>
    <row r="52" s="162" customFormat="1" ht="25" customHeight="1" spans="1:21">
      <c r="A52" s="208">
        <f>工程量核对表!A51</f>
        <v>1</v>
      </c>
      <c r="B52" s="282" t="str">
        <f>工程量核对表!B51</f>
        <v>土方开挖</v>
      </c>
      <c r="C52" s="210" t="str">
        <f>工程量核对表!C51</f>
        <v>m3</v>
      </c>
      <c r="D52" s="283">
        <v>33.28</v>
      </c>
      <c r="E52" s="283">
        <v>11.6</v>
      </c>
      <c r="F52" s="283"/>
      <c r="G52" s="283">
        <v>386.05</v>
      </c>
      <c r="H52" s="283"/>
      <c r="I52" s="283">
        <v>2.46</v>
      </c>
      <c r="J52" s="284">
        <v>19.7</v>
      </c>
      <c r="K52" s="284"/>
      <c r="L52" s="283">
        <v>48.51</v>
      </c>
      <c r="M52" s="283"/>
      <c r="N52" s="298">
        <f ca="1">工程量核对表!F51</f>
        <v>2.4624</v>
      </c>
      <c r="O52" s="213">
        <f>O33</f>
        <v>12.15</v>
      </c>
      <c r="P52" s="213"/>
      <c r="Q52" s="312">
        <f ca="1" t="shared" ref="Q52:Q60" si="15">N52*O52</f>
        <v>29.91816</v>
      </c>
      <c r="R52" s="312"/>
      <c r="S52" s="213">
        <f ca="1" t="shared" ref="S52:S60" si="16">Q52-G52</f>
        <v>-356.13184</v>
      </c>
      <c r="T52" s="298">
        <f ca="1" t="shared" ref="T52:T60" si="17">Q52-L52</f>
        <v>-18.59184</v>
      </c>
      <c r="U52" s="313" t="s">
        <v>45</v>
      </c>
    </row>
    <row r="53" s="162" customFormat="1" ht="25" customHeight="1" spans="1:21">
      <c r="A53" s="208">
        <f>工程量核对表!A52</f>
        <v>2</v>
      </c>
      <c r="B53" s="282" t="str">
        <f>工程量核对表!B52</f>
        <v>石方开挖</v>
      </c>
      <c r="C53" s="210" t="str">
        <f>工程量核对表!C52</f>
        <v>m3</v>
      </c>
      <c r="D53" s="283">
        <v>22.16</v>
      </c>
      <c r="E53" s="283">
        <v>51.97</v>
      </c>
      <c r="F53" s="283"/>
      <c r="G53" s="283">
        <v>1151.66</v>
      </c>
      <c r="H53" s="283"/>
      <c r="I53" s="283">
        <v>1.64</v>
      </c>
      <c r="J53" s="284">
        <v>57.04</v>
      </c>
      <c r="K53" s="284"/>
      <c r="L53" s="283">
        <v>93.64</v>
      </c>
      <c r="M53" s="283"/>
      <c r="N53" s="298">
        <f ca="1">工程量核对表!F52</f>
        <v>1.6416</v>
      </c>
      <c r="O53" s="213">
        <f>O41</f>
        <v>53.28</v>
      </c>
      <c r="P53" s="213"/>
      <c r="Q53" s="312">
        <f ca="1" t="shared" si="15"/>
        <v>87.464448</v>
      </c>
      <c r="R53" s="312"/>
      <c r="S53" s="213">
        <f ca="1" t="shared" si="16"/>
        <v>-1064.195552</v>
      </c>
      <c r="T53" s="298">
        <f ca="1" t="shared" si="17"/>
        <v>-6.175552</v>
      </c>
      <c r="U53" s="313" t="s">
        <v>45</v>
      </c>
    </row>
    <row r="54" s="162" customFormat="1" ht="25" customHeight="1" spans="1:21">
      <c r="A54" s="208">
        <f>工程量核对表!A53</f>
        <v>3</v>
      </c>
      <c r="B54" s="282" t="str">
        <f>工程量核对表!B53</f>
        <v>土石方回填</v>
      </c>
      <c r="C54" s="210" t="str">
        <f>工程量核对表!C53</f>
        <v>m3</v>
      </c>
      <c r="D54" s="283">
        <v>5.72</v>
      </c>
      <c r="E54" s="283">
        <v>34</v>
      </c>
      <c r="F54" s="283"/>
      <c r="G54" s="283">
        <v>194.48</v>
      </c>
      <c r="H54" s="283"/>
      <c r="I54" s="283">
        <v>0.77</v>
      </c>
      <c r="J54" s="284">
        <v>24.9</v>
      </c>
      <c r="K54" s="284"/>
      <c r="L54" s="283">
        <v>19.17</v>
      </c>
      <c r="M54" s="283"/>
      <c r="N54" s="298">
        <f ca="1">工程量核对表!F53</f>
        <v>0.77</v>
      </c>
      <c r="O54" s="213">
        <v>31.19</v>
      </c>
      <c r="P54" s="213"/>
      <c r="Q54" s="312">
        <f ca="1" t="shared" si="15"/>
        <v>24.0163</v>
      </c>
      <c r="R54" s="312"/>
      <c r="S54" s="213">
        <f ca="1" t="shared" si="16"/>
        <v>-170.4637</v>
      </c>
      <c r="T54" s="298">
        <f ca="1" t="shared" si="17"/>
        <v>4.8463</v>
      </c>
      <c r="U54" s="313" t="s">
        <v>45</v>
      </c>
    </row>
    <row r="55" s="162" customFormat="1" ht="25" customHeight="1" spans="1:21">
      <c r="A55" s="208">
        <f>工程量核对表!A54</f>
        <v>4</v>
      </c>
      <c r="B55" s="282" t="str">
        <f>工程量核对表!B54</f>
        <v>C25混凝土底板浇筑</v>
      </c>
      <c r="C55" s="210" t="str">
        <f>工程量核对表!C54</f>
        <v>m3</v>
      </c>
      <c r="D55" s="283">
        <v>1.48</v>
      </c>
      <c r="E55" s="283">
        <v>462.3</v>
      </c>
      <c r="F55" s="283"/>
      <c r="G55" s="283">
        <v>684.2</v>
      </c>
      <c r="H55" s="283"/>
      <c r="I55" s="283">
        <v>0.41</v>
      </c>
      <c r="J55" s="284">
        <v>537.51</v>
      </c>
      <c r="K55" s="284"/>
      <c r="L55" s="283">
        <v>219.3</v>
      </c>
      <c r="M55" s="283"/>
      <c r="N55" s="298">
        <f ca="1">工程量核对表!F54</f>
        <v>0.408</v>
      </c>
      <c r="O55" s="213">
        <f>O34</f>
        <v>452.81</v>
      </c>
      <c r="P55" s="213"/>
      <c r="Q55" s="312">
        <f ca="1" t="shared" si="15"/>
        <v>184.74648</v>
      </c>
      <c r="R55" s="312"/>
      <c r="S55" s="213">
        <f ca="1" t="shared" si="16"/>
        <v>-499.45352</v>
      </c>
      <c r="T55" s="298">
        <f ca="1" t="shared" si="17"/>
        <v>-34.55352</v>
      </c>
      <c r="U55" s="313" t="s">
        <v>45</v>
      </c>
    </row>
    <row r="56" s="162" customFormat="1" ht="25" customHeight="1" spans="1:21">
      <c r="A56" s="208">
        <f>工程量核对表!A55</f>
        <v>5</v>
      </c>
      <c r="B56" s="282" t="str">
        <f>工程量核对表!B55</f>
        <v>M7.5砖砌围墙</v>
      </c>
      <c r="C56" s="210" t="str">
        <f>工程量核对表!C55</f>
        <v>m3</v>
      </c>
      <c r="D56" s="283">
        <v>18.32</v>
      </c>
      <c r="E56" s="283">
        <v>442.25</v>
      </c>
      <c r="F56" s="283"/>
      <c r="G56" s="283">
        <v>8102.02</v>
      </c>
      <c r="H56" s="283"/>
      <c r="I56" s="283">
        <v>1.58</v>
      </c>
      <c r="J56" s="284">
        <v>582.15</v>
      </c>
      <c r="K56" s="284"/>
      <c r="L56" s="283">
        <v>922.13</v>
      </c>
      <c r="M56" s="283"/>
      <c r="N56" s="298">
        <f ca="1">工程量核对表!F55</f>
        <v>1.3536</v>
      </c>
      <c r="O56" s="213">
        <f>O47</f>
        <v>418.59</v>
      </c>
      <c r="P56" s="213"/>
      <c r="Q56" s="312">
        <f ca="1" t="shared" si="15"/>
        <v>566.603424</v>
      </c>
      <c r="R56" s="312"/>
      <c r="S56" s="213">
        <f ca="1" t="shared" si="16"/>
        <v>-7535.416576</v>
      </c>
      <c r="T56" s="298">
        <f ca="1" t="shared" si="17"/>
        <v>-355.526576</v>
      </c>
      <c r="U56" s="313" t="s">
        <v>45</v>
      </c>
    </row>
    <row r="57" s="162" customFormat="1" ht="25" customHeight="1" spans="1:21">
      <c r="A57" s="208">
        <f>工程量核对表!A56</f>
        <v>6</v>
      </c>
      <c r="B57" s="282" t="str">
        <f>工程量核对表!B56</f>
        <v>M10沙浆抹面</v>
      </c>
      <c r="C57" s="210" t="str">
        <f>工程量核对表!C56</f>
        <v>m2</v>
      </c>
      <c r="D57" s="283">
        <v>76.32</v>
      </c>
      <c r="E57" s="283">
        <v>12.36</v>
      </c>
      <c r="F57" s="283"/>
      <c r="G57" s="283">
        <v>943.32</v>
      </c>
      <c r="H57" s="283"/>
      <c r="I57" s="283">
        <v>7.21</v>
      </c>
      <c r="J57" s="284">
        <v>17.05</v>
      </c>
      <c r="K57" s="284"/>
      <c r="L57" s="283">
        <v>122.88</v>
      </c>
      <c r="M57" s="283"/>
      <c r="N57" s="298">
        <f ca="1">工程量核对表!F56</f>
        <v>7.2072</v>
      </c>
      <c r="O57" s="213">
        <f>O39</f>
        <v>11.93</v>
      </c>
      <c r="P57" s="213"/>
      <c r="Q57" s="312">
        <f ca="1" t="shared" si="15"/>
        <v>85.981896</v>
      </c>
      <c r="R57" s="312"/>
      <c r="S57" s="213">
        <f ca="1" t="shared" si="16"/>
        <v>-857.338104</v>
      </c>
      <c r="T57" s="298">
        <f ca="1" t="shared" si="17"/>
        <v>-36.898104</v>
      </c>
      <c r="U57" s="313" t="s">
        <v>45</v>
      </c>
    </row>
    <row r="58" s="162" customFormat="1" ht="25" customHeight="1" spans="1:21">
      <c r="A58" s="208" t="str">
        <f>工程量核对表!A57</f>
        <v>新增</v>
      </c>
      <c r="B58" s="282" t="str">
        <f>工程量核对表!B57</f>
        <v>C25混凝土顶板浇筑</v>
      </c>
      <c r="C58" s="210" t="str">
        <f>工程量核对表!C57</f>
        <v>m3</v>
      </c>
      <c r="D58" s="283"/>
      <c r="E58" s="283"/>
      <c r="F58" s="283"/>
      <c r="G58" s="283"/>
      <c r="H58" s="283"/>
      <c r="I58" s="283">
        <v>0.19</v>
      </c>
      <c r="J58" s="284">
        <v>592.81</v>
      </c>
      <c r="K58" s="284"/>
      <c r="L58" s="283">
        <v>112.87</v>
      </c>
      <c r="M58" s="283"/>
      <c r="N58" s="298">
        <f ca="1">工程量核对表!F57</f>
        <v>0.1496</v>
      </c>
      <c r="O58" s="213">
        <f>O34</f>
        <v>452.81</v>
      </c>
      <c r="P58" s="213"/>
      <c r="Q58" s="312">
        <f ca="1" t="shared" si="15"/>
        <v>67.740376</v>
      </c>
      <c r="R58" s="312"/>
      <c r="S58" s="213">
        <f ca="1" t="shared" si="16"/>
        <v>67.740376</v>
      </c>
      <c r="T58" s="298">
        <f ca="1" t="shared" si="17"/>
        <v>-45.129624</v>
      </c>
      <c r="U58" s="313" t="s">
        <v>45</v>
      </c>
    </row>
    <row r="59" s="162" customFormat="1" ht="25" customHeight="1" spans="1:21">
      <c r="A59" s="208" t="str">
        <f>工程量核对表!A58</f>
        <v>新增</v>
      </c>
      <c r="B59" s="282" t="str">
        <f>工程量核对表!B58</f>
        <v>木模制安</v>
      </c>
      <c r="C59" s="210" t="str">
        <f>工程量核对表!C58</f>
        <v>m2</v>
      </c>
      <c r="D59" s="283"/>
      <c r="E59" s="283"/>
      <c r="F59" s="283"/>
      <c r="G59" s="283"/>
      <c r="H59" s="283"/>
      <c r="I59" s="283">
        <v>1.83</v>
      </c>
      <c r="J59" s="284">
        <v>58.41</v>
      </c>
      <c r="K59" s="284"/>
      <c r="L59" s="283">
        <v>106.8</v>
      </c>
      <c r="M59" s="283"/>
      <c r="N59" s="298">
        <f ca="1">工程量核对表!F58</f>
        <v>0.363</v>
      </c>
      <c r="O59" s="213">
        <f>O37</f>
        <v>59.86</v>
      </c>
      <c r="P59" s="213"/>
      <c r="Q59" s="312">
        <f ca="1" t="shared" si="15"/>
        <v>21.72918</v>
      </c>
      <c r="R59" s="312"/>
      <c r="S59" s="213">
        <f ca="1" t="shared" si="16"/>
        <v>21.72918</v>
      </c>
      <c r="T59" s="298">
        <f ca="1" t="shared" si="17"/>
        <v>-85.07082</v>
      </c>
      <c r="U59" s="313" t="s">
        <v>45</v>
      </c>
    </row>
    <row r="60" s="162" customFormat="1" ht="25" customHeight="1" spans="1:21">
      <c r="A60" s="208" t="str">
        <f>工程量核对表!A59</f>
        <v>新增</v>
      </c>
      <c r="B60" s="282" t="str">
        <f>工程量核对表!B59</f>
        <v>钢筋制安</v>
      </c>
      <c r="C60" s="210" t="s">
        <v>57</v>
      </c>
      <c r="D60" s="283"/>
      <c r="E60" s="284"/>
      <c r="F60" s="283"/>
      <c r="G60" s="283"/>
      <c r="H60" s="283"/>
      <c r="I60" s="283">
        <v>0.03</v>
      </c>
      <c r="J60" s="284">
        <v>6596.11</v>
      </c>
      <c r="K60" s="284"/>
      <c r="L60" s="283">
        <v>179.33</v>
      </c>
      <c r="M60" s="283"/>
      <c r="N60" s="298">
        <f ca="1">工程量核对表!F59/1000</f>
        <v>0.0292142</v>
      </c>
      <c r="O60" s="213">
        <f>O38</f>
        <v>5920</v>
      </c>
      <c r="P60" s="213"/>
      <c r="Q60" s="312">
        <f ca="1" t="shared" si="15"/>
        <v>172.948064</v>
      </c>
      <c r="R60" s="312"/>
      <c r="S60" s="213">
        <f ca="1" t="shared" si="16"/>
        <v>172.948064</v>
      </c>
      <c r="T60" s="298">
        <f ca="1" t="shared" si="17"/>
        <v>-6.38193600000002</v>
      </c>
      <c r="U60" s="313" t="s">
        <v>58</v>
      </c>
    </row>
    <row r="61" s="162" customFormat="1" ht="25" customHeight="1" spans="1:21">
      <c r="A61" s="278" t="s">
        <v>63</v>
      </c>
      <c r="B61" s="279" t="str">
        <f>工程量核对表!B60</f>
        <v>防洪墙及附属工程</v>
      </c>
      <c r="C61" s="280" t="str">
        <f>工程量核对表!C60</f>
        <v>个</v>
      </c>
      <c r="D61" s="281"/>
      <c r="E61" s="285"/>
      <c r="F61" s="281"/>
      <c r="G61" s="281"/>
      <c r="H61" s="281"/>
      <c r="I61" s="281"/>
      <c r="J61" s="285"/>
      <c r="K61" s="285"/>
      <c r="L61" s="281">
        <v>23127.23</v>
      </c>
      <c r="M61" s="281"/>
      <c r="N61" s="296"/>
      <c r="O61" s="297"/>
      <c r="P61" s="297"/>
      <c r="Q61" s="310">
        <f ca="1">SUM(Q62:Q70)</f>
        <v>14335.2352052925</v>
      </c>
      <c r="R61" s="310"/>
      <c r="S61" s="310">
        <f ca="1">SUM(S62:S70)</f>
        <v>14335.2352052925</v>
      </c>
      <c r="T61" s="310">
        <f ca="1">SUM(T62:T70)</f>
        <v>-8791.9947947075</v>
      </c>
      <c r="U61" s="311" t="s">
        <v>35</v>
      </c>
    </row>
    <row r="62" s="162" customFormat="1" ht="25" customHeight="1" spans="1:21">
      <c r="A62" s="208">
        <f>工程量核对表!A61</f>
        <v>1</v>
      </c>
      <c r="B62" s="282" t="str">
        <f>工程量核对表!B61</f>
        <v>土方开挖</v>
      </c>
      <c r="C62" s="210" t="str">
        <f>工程量核对表!C61</f>
        <v>m3</v>
      </c>
      <c r="D62" s="283"/>
      <c r="E62" s="283"/>
      <c r="F62" s="283"/>
      <c r="G62" s="283"/>
      <c r="H62" s="283"/>
      <c r="I62" s="283">
        <v>71.55</v>
      </c>
      <c r="J62" s="284">
        <v>19.7</v>
      </c>
      <c r="K62" s="284"/>
      <c r="L62" s="283">
        <v>1409.54</v>
      </c>
      <c r="M62" s="283"/>
      <c r="N62" s="298">
        <f ca="1">工程量核对表!F61</f>
        <v>61.23</v>
      </c>
      <c r="O62" s="213">
        <f>O33</f>
        <v>12.15</v>
      </c>
      <c r="P62" s="213"/>
      <c r="Q62" s="312">
        <f ca="1" t="shared" ref="Q62:Q70" si="18">N62*O62</f>
        <v>743.9445</v>
      </c>
      <c r="R62" s="312"/>
      <c r="S62" s="213">
        <f ca="1" t="shared" ref="S62:S70" si="19">Q62-G62</f>
        <v>743.9445</v>
      </c>
      <c r="T62" s="298">
        <f ca="1" t="shared" ref="T62:T70" si="20">Q62-L62</f>
        <v>-665.5955</v>
      </c>
      <c r="U62" s="313" t="s">
        <v>45</v>
      </c>
    </row>
    <row r="63" s="162" customFormat="1" ht="25" customHeight="1" spans="1:21">
      <c r="A63" s="208">
        <f>工程量核对表!A62</f>
        <v>2</v>
      </c>
      <c r="B63" s="282" t="str">
        <f>工程量核对表!B62</f>
        <v>C20砼墙</v>
      </c>
      <c r="C63" s="210" t="str">
        <f>工程量核对表!C62</f>
        <v>m3</v>
      </c>
      <c r="D63" s="283"/>
      <c r="E63" s="283"/>
      <c r="F63" s="283"/>
      <c r="G63" s="283"/>
      <c r="H63" s="283"/>
      <c r="I63" s="283">
        <v>21.12</v>
      </c>
      <c r="J63" s="284">
        <v>537.51</v>
      </c>
      <c r="K63" s="284"/>
      <c r="L63" s="283">
        <v>11352.21</v>
      </c>
      <c r="M63" s="283"/>
      <c r="N63" s="298">
        <f ca="1">工程量核对表!F62</f>
        <v>16.27973725</v>
      </c>
      <c r="O63" s="213">
        <f>O27</f>
        <v>448.73</v>
      </c>
      <c r="P63" s="213"/>
      <c r="Q63" s="312">
        <f ca="1" t="shared" si="18"/>
        <v>7305.2064961925</v>
      </c>
      <c r="R63" s="312"/>
      <c r="S63" s="213">
        <f ca="1" t="shared" si="19"/>
        <v>7305.2064961925</v>
      </c>
      <c r="T63" s="298">
        <f ca="1" t="shared" si="20"/>
        <v>-4047.0035038075</v>
      </c>
      <c r="U63" s="313" t="s">
        <v>59</v>
      </c>
    </row>
    <row r="64" s="162" customFormat="1" ht="25" customHeight="1" spans="1:21">
      <c r="A64" s="208">
        <f>工程量核对表!A63</f>
        <v>3</v>
      </c>
      <c r="B64" s="282" t="str">
        <f>工程量核对表!B63</f>
        <v>人工干砌块石</v>
      </c>
      <c r="C64" s="210" t="str">
        <f>工程量核对表!C63</f>
        <v>m3</v>
      </c>
      <c r="D64" s="283"/>
      <c r="E64" s="283"/>
      <c r="F64" s="283"/>
      <c r="G64" s="283"/>
      <c r="H64" s="283"/>
      <c r="I64" s="283">
        <v>8.83</v>
      </c>
      <c r="J64" s="284">
        <v>251.66</v>
      </c>
      <c r="K64" s="284"/>
      <c r="L64" s="283">
        <v>2222.66</v>
      </c>
      <c r="M64" s="283"/>
      <c r="N64" s="298">
        <f ca="1">工程量核对表!F63</f>
        <v>8.0896</v>
      </c>
      <c r="O64" s="213">
        <v>118.78</v>
      </c>
      <c r="P64" s="213"/>
      <c r="Q64" s="312">
        <f ca="1" t="shared" si="18"/>
        <v>960.882688</v>
      </c>
      <c r="R64" s="312"/>
      <c r="S64" s="213">
        <f ca="1" t="shared" si="19"/>
        <v>960.882688</v>
      </c>
      <c r="T64" s="298">
        <f ca="1" t="shared" si="20"/>
        <v>-1261.777312</v>
      </c>
      <c r="U64" s="313" t="s">
        <v>59</v>
      </c>
    </row>
    <row r="65" s="162" customFormat="1" ht="25" customHeight="1" spans="1:21">
      <c r="A65" s="208">
        <f>工程量核对表!A64</f>
        <v>4</v>
      </c>
      <c r="B65" s="282" t="str">
        <f>工程量核对表!B64</f>
        <v>M7.5页岩砖砖堡坎</v>
      </c>
      <c r="C65" s="210" t="str">
        <f>工程量核对表!C64</f>
        <v>m3</v>
      </c>
      <c r="D65" s="283"/>
      <c r="E65" s="283"/>
      <c r="F65" s="283"/>
      <c r="G65" s="283"/>
      <c r="H65" s="283"/>
      <c r="I65" s="283">
        <v>1.99</v>
      </c>
      <c r="J65" s="284">
        <v>582.15</v>
      </c>
      <c r="K65" s="284"/>
      <c r="L65" s="283">
        <v>1156.85</v>
      </c>
      <c r="M65" s="283"/>
      <c r="N65" s="298">
        <f ca="1">工程量核对表!F64</f>
        <v>1.21344</v>
      </c>
      <c r="O65" s="213">
        <f>O16</f>
        <v>418.59</v>
      </c>
      <c r="P65" s="213"/>
      <c r="Q65" s="312">
        <f ca="1" t="shared" si="18"/>
        <v>507.9338496</v>
      </c>
      <c r="R65" s="312"/>
      <c r="S65" s="213">
        <f ca="1" t="shared" si="19"/>
        <v>507.9338496</v>
      </c>
      <c r="T65" s="298">
        <f ca="1" t="shared" si="20"/>
        <v>-648.9161504</v>
      </c>
      <c r="U65" s="313" t="s">
        <v>45</v>
      </c>
    </row>
    <row r="66" s="162" customFormat="1" ht="25" customHeight="1" spans="1:21">
      <c r="A66" s="208">
        <f>工程量核对表!A65</f>
        <v>5</v>
      </c>
      <c r="B66" s="282" t="str">
        <f>工程量核对表!B65</f>
        <v>M10沙浆抹面</v>
      </c>
      <c r="C66" s="210" t="str">
        <f>工程量核对表!C65</f>
        <v>m2</v>
      </c>
      <c r="D66" s="283"/>
      <c r="E66" s="283"/>
      <c r="F66" s="283"/>
      <c r="G66" s="283"/>
      <c r="H66" s="283"/>
      <c r="I66" s="283">
        <v>10.52</v>
      </c>
      <c r="J66" s="284">
        <v>17.05</v>
      </c>
      <c r="K66" s="284"/>
      <c r="L66" s="283">
        <v>179.41</v>
      </c>
      <c r="M66" s="283"/>
      <c r="N66" s="298">
        <f ca="1">工程量核对表!F65</f>
        <v>9.638</v>
      </c>
      <c r="O66" s="213">
        <f>O39</f>
        <v>11.93</v>
      </c>
      <c r="P66" s="213"/>
      <c r="Q66" s="312">
        <f ca="1" t="shared" si="18"/>
        <v>114.98134</v>
      </c>
      <c r="R66" s="312"/>
      <c r="S66" s="213">
        <f ca="1" t="shared" si="19"/>
        <v>114.98134</v>
      </c>
      <c r="T66" s="298">
        <f ca="1" t="shared" si="20"/>
        <v>-64.42866</v>
      </c>
      <c r="U66" s="313" t="s">
        <v>45</v>
      </c>
    </row>
    <row r="67" s="162" customFormat="1" ht="25" customHeight="1" spans="1:21">
      <c r="A67" s="208">
        <f>工程量核对表!A66</f>
        <v>6</v>
      </c>
      <c r="B67" s="282" t="str">
        <f>工程量核对表!B66</f>
        <v>土石方回填</v>
      </c>
      <c r="C67" s="210" t="str">
        <f>工程量核对表!C66</f>
        <v>m3</v>
      </c>
      <c r="D67" s="283"/>
      <c r="E67" s="283"/>
      <c r="F67" s="283"/>
      <c r="G67" s="283"/>
      <c r="H67" s="283"/>
      <c r="I67" s="283">
        <v>75.6</v>
      </c>
      <c r="J67" s="284">
        <v>24.9</v>
      </c>
      <c r="K67" s="284"/>
      <c r="L67" s="283">
        <v>1882.44</v>
      </c>
      <c r="M67" s="283"/>
      <c r="N67" s="298">
        <f ca="1">工程量核对表!F66</f>
        <v>72.63</v>
      </c>
      <c r="O67" s="213">
        <f>O42</f>
        <v>12.18</v>
      </c>
      <c r="P67" s="213"/>
      <c r="Q67" s="312">
        <f ca="1" t="shared" si="18"/>
        <v>884.6334</v>
      </c>
      <c r="R67" s="312"/>
      <c r="S67" s="213">
        <f ca="1" t="shared" si="19"/>
        <v>884.6334</v>
      </c>
      <c r="T67" s="298">
        <f ca="1" t="shared" si="20"/>
        <v>-997.8066</v>
      </c>
      <c r="U67" s="313" t="s">
        <v>45</v>
      </c>
    </row>
    <row r="68" s="162" customFormat="1" ht="25" customHeight="1" spans="1:21">
      <c r="A68" s="208">
        <f>工程量核对表!A67</f>
        <v>7</v>
      </c>
      <c r="B68" s="282" t="str">
        <f>工程量核对表!B67</f>
        <v>C20梯步</v>
      </c>
      <c r="C68" s="210" t="str">
        <f>工程量核对表!C67</f>
        <v>m3</v>
      </c>
      <c r="D68" s="283"/>
      <c r="E68" s="283"/>
      <c r="F68" s="283"/>
      <c r="G68" s="283"/>
      <c r="H68" s="283"/>
      <c r="I68" s="283">
        <v>2.41</v>
      </c>
      <c r="J68" s="284">
        <v>537.51</v>
      </c>
      <c r="K68" s="284"/>
      <c r="L68" s="283">
        <v>1297.01</v>
      </c>
      <c r="M68" s="283"/>
      <c r="N68" s="298">
        <f ca="1">工程量核对表!F67</f>
        <v>1.78275</v>
      </c>
      <c r="O68" s="213">
        <f>O27</f>
        <v>448.73</v>
      </c>
      <c r="P68" s="213"/>
      <c r="Q68" s="312">
        <f ca="1" t="shared" si="18"/>
        <v>799.9734075</v>
      </c>
      <c r="R68" s="312"/>
      <c r="S68" s="213">
        <f ca="1" t="shared" si="19"/>
        <v>799.9734075</v>
      </c>
      <c r="T68" s="298">
        <f ca="1" t="shared" si="20"/>
        <v>-497.0365925</v>
      </c>
      <c r="U68" s="313" t="s">
        <v>59</v>
      </c>
    </row>
    <row r="69" s="162" customFormat="1" ht="25" customHeight="1" spans="1:21">
      <c r="A69" s="208">
        <f>工程量核对表!A68</f>
        <v>8</v>
      </c>
      <c r="B69" s="282" t="str">
        <f>工程量核对表!B68</f>
        <v>C20砼地面</v>
      </c>
      <c r="C69" s="210" t="str">
        <f>工程量核对表!C68</f>
        <v>m3</v>
      </c>
      <c r="D69" s="283"/>
      <c r="E69" s="283"/>
      <c r="F69" s="283"/>
      <c r="G69" s="283"/>
      <c r="H69" s="283"/>
      <c r="I69" s="283">
        <v>1.12</v>
      </c>
      <c r="J69" s="284">
        <v>537.51</v>
      </c>
      <c r="K69" s="284"/>
      <c r="L69" s="283">
        <v>601.47</v>
      </c>
      <c r="M69" s="283"/>
      <c r="N69" s="298">
        <f ca="1">工程量核对表!F68</f>
        <v>1.119</v>
      </c>
      <c r="O69" s="213">
        <f>O27</f>
        <v>448.73</v>
      </c>
      <c r="P69" s="213"/>
      <c r="Q69" s="312">
        <f ca="1" t="shared" si="18"/>
        <v>502.12887</v>
      </c>
      <c r="R69" s="312"/>
      <c r="S69" s="213">
        <f ca="1" t="shared" si="19"/>
        <v>502.12887</v>
      </c>
      <c r="T69" s="298">
        <f ca="1" t="shared" si="20"/>
        <v>-99.3411299999999</v>
      </c>
      <c r="U69" s="313" t="s">
        <v>59</v>
      </c>
    </row>
    <row r="70" s="162" customFormat="1" ht="25" customHeight="1" spans="1:21">
      <c r="A70" s="208">
        <f>工程量核对表!A69</f>
        <v>9</v>
      </c>
      <c r="B70" s="282" t="str">
        <f>工程量核对表!B69</f>
        <v>木模制安</v>
      </c>
      <c r="C70" s="210" t="str">
        <f>工程量核对表!C69</f>
        <v>m2</v>
      </c>
      <c r="D70" s="283"/>
      <c r="E70" s="284"/>
      <c r="F70" s="283"/>
      <c r="G70" s="283"/>
      <c r="H70" s="283"/>
      <c r="I70" s="283">
        <v>51.8</v>
      </c>
      <c r="J70" s="284">
        <v>58.41</v>
      </c>
      <c r="K70" s="284"/>
      <c r="L70" s="283">
        <v>3025.64</v>
      </c>
      <c r="M70" s="283"/>
      <c r="N70" s="298">
        <f ca="1">工程量核对表!F69</f>
        <v>42.0239</v>
      </c>
      <c r="O70" s="213">
        <f>O37</f>
        <v>59.86</v>
      </c>
      <c r="P70" s="213"/>
      <c r="Q70" s="312">
        <f ca="1" t="shared" si="18"/>
        <v>2515.550654</v>
      </c>
      <c r="R70" s="312"/>
      <c r="S70" s="213">
        <f ca="1" t="shared" si="19"/>
        <v>2515.550654</v>
      </c>
      <c r="T70" s="298">
        <f ca="1" t="shared" si="20"/>
        <v>-510.089346000001</v>
      </c>
      <c r="U70" s="313" t="s">
        <v>45</v>
      </c>
    </row>
    <row r="71" s="162" customFormat="1" ht="25" customHeight="1" spans="1:21">
      <c r="A71" s="278" t="str">
        <f>工程量核对表!A70</f>
        <v>（六）</v>
      </c>
      <c r="B71" s="279" t="str">
        <f>工程量核对表!B70</f>
        <v>建筑材料人力二次运输</v>
      </c>
      <c r="C71" s="280" t="str">
        <f>工程量核对表!C70</f>
        <v/>
      </c>
      <c r="D71" s="281"/>
      <c r="E71" s="281"/>
      <c r="F71" s="281"/>
      <c r="G71" s="281">
        <f>SUM(G72:G77)</f>
        <v>0</v>
      </c>
      <c r="H71" s="281"/>
      <c r="I71" s="281"/>
      <c r="J71" s="285"/>
      <c r="K71" s="285"/>
      <c r="L71" s="281">
        <v>8566.21</v>
      </c>
      <c r="M71" s="281"/>
      <c r="N71" s="296"/>
      <c r="O71" s="297"/>
      <c r="P71" s="297"/>
      <c r="Q71" s="310">
        <f ca="1">SUM(Q72:Q77)</f>
        <v>2511.0321540752</v>
      </c>
      <c r="R71" s="310"/>
      <c r="S71" s="310">
        <f ca="1">SUM(S72:S77)</f>
        <v>2511.0321540752</v>
      </c>
      <c r="T71" s="310">
        <f ca="1">SUM(T72:T77)</f>
        <v>-6055.1778459248</v>
      </c>
      <c r="U71" s="311"/>
    </row>
    <row r="72" s="162" customFormat="1" ht="25" customHeight="1" spans="1:21">
      <c r="A72" s="208">
        <f>工程量核对表!A71</f>
        <v>1</v>
      </c>
      <c r="B72" s="282" t="str">
        <f>工程量核对表!B71</f>
        <v>人力二次转运材料100米</v>
      </c>
      <c r="C72" s="210" t="str">
        <f>工程量核对表!C71</f>
        <v>t</v>
      </c>
      <c r="D72" s="283"/>
      <c r="E72" s="283"/>
      <c r="F72" s="283"/>
      <c r="G72" s="283"/>
      <c r="H72" s="283"/>
      <c r="I72" s="283"/>
      <c r="J72" s="284"/>
      <c r="K72" s="284"/>
      <c r="L72" s="283"/>
      <c r="M72" s="283"/>
      <c r="N72" s="298"/>
      <c r="O72" s="213"/>
      <c r="P72" s="213"/>
      <c r="Q72" s="312"/>
      <c r="R72" s="312"/>
      <c r="S72" s="213">
        <f t="shared" ref="S72:S77" si="21">Q72-G72</f>
        <v>0</v>
      </c>
      <c r="T72" s="298">
        <f t="shared" ref="T72:T77" si="22">Q72-L72</f>
        <v>0</v>
      </c>
      <c r="U72" s="313" t="s">
        <v>64</v>
      </c>
    </row>
    <row r="73" s="162" customFormat="1" ht="25" customHeight="1" spans="1:21">
      <c r="A73" s="208">
        <f>工程量核对表!A72</f>
        <v>2</v>
      </c>
      <c r="B73" s="282" t="str">
        <f>工程量核对表!B72</f>
        <v>水泥</v>
      </c>
      <c r="C73" s="210" t="str">
        <f>工程量核对表!C72</f>
        <v>t</v>
      </c>
      <c r="D73" s="283"/>
      <c r="E73" s="283"/>
      <c r="F73" s="283"/>
      <c r="G73" s="283"/>
      <c r="H73" s="283"/>
      <c r="I73" s="283">
        <v>31.66</v>
      </c>
      <c r="J73" s="284">
        <v>50</v>
      </c>
      <c r="K73" s="284"/>
      <c r="L73" s="283">
        <v>1583.18</v>
      </c>
      <c r="M73" s="283"/>
      <c r="N73" s="298">
        <f ca="1">工程量核对表!F72</f>
        <v>17.6195480710413</v>
      </c>
      <c r="O73" s="213">
        <f>O74*0.915</f>
        <v>24.9978</v>
      </c>
      <c r="P73" s="213"/>
      <c r="Q73" s="312">
        <f ca="1">N73*O73</f>
        <v>440.449938770276</v>
      </c>
      <c r="R73" s="312"/>
      <c r="S73" s="213">
        <f ca="1" t="shared" si="21"/>
        <v>440.449938770276</v>
      </c>
      <c r="T73" s="298">
        <f ca="1" t="shared" si="22"/>
        <v>-1142.73006122972</v>
      </c>
      <c r="U73" s="313"/>
    </row>
    <row r="74" s="162" customFormat="1" ht="25" customHeight="1" spans="1:21">
      <c r="A74" s="208">
        <f>工程量核对表!A73</f>
        <v>3</v>
      </c>
      <c r="B74" s="282" t="str">
        <f>工程量核对表!B73</f>
        <v>砂</v>
      </c>
      <c r="C74" s="210" t="str">
        <f>工程量核对表!C73</f>
        <v>m3</v>
      </c>
      <c r="D74" s="283"/>
      <c r="E74" s="283"/>
      <c r="F74" s="283"/>
      <c r="G74" s="283"/>
      <c r="H74" s="283"/>
      <c r="I74" s="283">
        <v>30.44</v>
      </c>
      <c r="J74" s="284">
        <v>80</v>
      </c>
      <c r="K74" s="284"/>
      <c r="L74" s="283">
        <v>2434.83</v>
      </c>
      <c r="M74" s="283"/>
      <c r="N74" s="298">
        <f ca="1">工程量核对表!F73</f>
        <v>26.6047188893</v>
      </c>
      <c r="O74" s="213">
        <v>27.32</v>
      </c>
      <c r="P74" s="213"/>
      <c r="Q74" s="312">
        <f ca="1">N74*O74</f>
        <v>726.840920055676</v>
      </c>
      <c r="R74" s="312"/>
      <c r="S74" s="213">
        <f ca="1" t="shared" si="21"/>
        <v>726.840920055676</v>
      </c>
      <c r="T74" s="298">
        <f ca="1" t="shared" si="22"/>
        <v>-1707.98907994432</v>
      </c>
      <c r="U74" s="313"/>
    </row>
    <row r="75" s="162" customFormat="1" ht="25" customHeight="1" spans="1:21">
      <c r="A75" s="208">
        <f>工程量核对表!A74</f>
        <v>4</v>
      </c>
      <c r="B75" s="282" t="str">
        <f>工程量核对表!B74</f>
        <v>碎石</v>
      </c>
      <c r="C75" s="210" t="str">
        <f>工程量核对表!C74</f>
        <v>m3</v>
      </c>
      <c r="D75" s="283"/>
      <c r="E75" s="283"/>
      <c r="F75" s="283"/>
      <c r="G75" s="283"/>
      <c r="H75" s="283"/>
      <c r="I75" s="283">
        <v>44.65</v>
      </c>
      <c r="J75" s="284">
        <v>85</v>
      </c>
      <c r="K75" s="284"/>
      <c r="L75" s="283">
        <v>3794.86</v>
      </c>
      <c r="M75" s="283"/>
      <c r="N75" s="298">
        <f ca="1">工程量核对表!F74</f>
        <v>42.05805632505</v>
      </c>
      <c r="O75" s="213">
        <v>28.44</v>
      </c>
      <c r="P75" s="213"/>
      <c r="Q75" s="312">
        <f ca="1">N75*O75</f>
        <v>1196.13112188442</v>
      </c>
      <c r="R75" s="312"/>
      <c r="S75" s="213">
        <f ca="1" t="shared" si="21"/>
        <v>1196.13112188442</v>
      </c>
      <c r="T75" s="298">
        <f ca="1" t="shared" si="22"/>
        <v>-2598.72887811558</v>
      </c>
      <c r="U75" s="313"/>
    </row>
    <row r="76" s="162" customFormat="1" ht="25" customHeight="1" spans="1:21">
      <c r="A76" s="208">
        <f>工程量核对表!A75</f>
        <v>5</v>
      </c>
      <c r="B76" s="282" t="str">
        <f>工程量核对表!B75</f>
        <v>页岩砖</v>
      </c>
      <c r="C76" s="210" t="str">
        <f>工程量核对表!C75</f>
        <v>千匹</v>
      </c>
      <c r="D76" s="283"/>
      <c r="E76" s="283"/>
      <c r="F76" s="283"/>
      <c r="G76" s="283"/>
      <c r="H76" s="283"/>
      <c r="I76" s="283">
        <v>5.35</v>
      </c>
      <c r="J76" s="284">
        <v>125</v>
      </c>
      <c r="K76" s="284"/>
      <c r="L76" s="283">
        <v>668.4</v>
      </c>
      <c r="M76" s="283"/>
      <c r="N76" s="298">
        <f ca="1">工程量核对表!F75</f>
        <v>2.19614976</v>
      </c>
      <c r="O76" s="213">
        <f>O74*1.854</f>
        <v>50.65128</v>
      </c>
      <c r="P76" s="213"/>
      <c r="Q76" s="312">
        <f ca="1">N76*O76</f>
        <v>111.237796415693</v>
      </c>
      <c r="R76" s="312"/>
      <c r="S76" s="213">
        <f ca="1" t="shared" si="21"/>
        <v>111.237796415693</v>
      </c>
      <c r="T76" s="298">
        <f ca="1" t="shared" si="22"/>
        <v>-557.162203584307</v>
      </c>
      <c r="U76" s="313"/>
    </row>
    <row r="77" s="162" customFormat="1" ht="25" customHeight="1" spans="1:21">
      <c r="A77" s="208">
        <f>工程量核对表!A76</f>
        <v>6</v>
      </c>
      <c r="B77" s="282" t="str">
        <f>工程量核对表!B76</f>
        <v>钢筋</v>
      </c>
      <c r="C77" s="210" t="str">
        <f>工程量核对表!C76</f>
        <v>t</v>
      </c>
      <c r="D77" s="283"/>
      <c r="E77" s="283"/>
      <c r="F77" s="283"/>
      <c r="G77" s="283"/>
      <c r="H77" s="283"/>
      <c r="I77" s="283">
        <v>1.7</v>
      </c>
      <c r="J77" s="284">
        <v>50</v>
      </c>
      <c r="K77" s="284"/>
      <c r="L77" s="283">
        <v>84.94</v>
      </c>
      <c r="M77" s="283"/>
      <c r="N77" s="298">
        <f ca="1">工程量核对表!F76</f>
        <v>1.45502312</v>
      </c>
      <c r="O77" s="213">
        <f>O73</f>
        <v>24.9978</v>
      </c>
      <c r="P77" s="213"/>
      <c r="Q77" s="312">
        <f ca="1">N77*O77</f>
        <v>36.372376949136</v>
      </c>
      <c r="R77" s="312"/>
      <c r="S77" s="213">
        <f ca="1" t="shared" si="21"/>
        <v>36.372376949136</v>
      </c>
      <c r="T77" s="298">
        <f ca="1" t="shared" si="22"/>
        <v>-48.567623050864</v>
      </c>
      <c r="U77" s="313"/>
    </row>
    <row r="78" s="162" customFormat="1" ht="25" customHeight="1" spans="1:21">
      <c r="A78" s="274" t="str">
        <f>工程量核对表!A77</f>
        <v>二</v>
      </c>
      <c r="B78" s="275" t="str">
        <f>工程量核对表!B77</f>
        <v>长湾供水工程</v>
      </c>
      <c r="C78" s="276" t="str">
        <f>工程量核对表!C77</f>
        <v/>
      </c>
      <c r="D78" s="277"/>
      <c r="E78" s="277"/>
      <c r="F78" s="277"/>
      <c r="G78" s="277">
        <f>G79+G110+G121+G131</f>
        <v>0</v>
      </c>
      <c r="H78" s="277"/>
      <c r="I78" s="277"/>
      <c r="J78" s="293"/>
      <c r="K78" s="293"/>
      <c r="L78" s="277">
        <v>66268.61</v>
      </c>
      <c r="M78" s="277"/>
      <c r="N78" s="294"/>
      <c r="O78" s="295"/>
      <c r="P78" s="295"/>
      <c r="Q78" s="308">
        <f ca="1">Q110+Q79+Q121+Q131</f>
        <v>55611.9177372843</v>
      </c>
      <c r="R78" s="308"/>
      <c r="S78" s="308">
        <f ca="1" t="shared" ref="Q78:T78" si="23">S110+S79+S121+S131</f>
        <v>55611.9177372843</v>
      </c>
      <c r="T78" s="308">
        <f ca="1" t="shared" si="23"/>
        <v>-10656.7022627158</v>
      </c>
      <c r="U78" s="309" t="s">
        <v>65</v>
      </c>
    </row>
    <row r="79" s="162" customFormat="1" ht="25" customHeight="1" spans="1:21">
      <c r="A79" s="278" t="str">
        <f>工程量核对表!A78</f>
        <v>（一）</v>
      </c>
      <c r="B79" s="279" t="str">
        <f>工程量核对表!B78</f>
        <v>蓄水池工程</v>
      </c>
      <c r="C79" s="280" t="str">
        <f>工程量核对表!C78</f>
        <v/>
      </c>
      <c r="D79" s="281"/>
      <c r="E79" s="281"/>
      <c r="F79" s="281"/>
      <c r="G79" s="281">
        <f>G80+G105</f>
        <v>0</v>
      </c>
      <c r="H79" s="281"/>
      <c r="I79" s="281"/>
      <c r="J79" s="285"/>
      <c r="K79" s="285"/>
      <c r="L79" s="281">
        <v>51035.24</v>
      </c>
      <c r="M79" s="281"/>
      <c r="N79" s="296"/>
      <c r="O79" s="297"/>
      <c r="P79" s="297"/>
      <c r="Q79" s="310">
        <f ca="1">Q80+Q105</f>
        <v>50530.1523304281</v>
      </c>
      <c r="R79" s="310"/>
      <c r="S79" s="310">
        <f ca="1">S80+S105</f>
        <v>50530.1523304281</v>
      </c>
      <c r="T79" s="310">
        <f ca="1">T80+T105</f>
        <v>-505.087669571888</v>
      </c>
      <c r="U79" s="311"/>
    </row>
    <row r="80" s="162" customFormat="1" ht="25" customHeight="1" spans="1:21">
      <c r="A80" s="278" t="str">
        <f>工程量核对表!A79</f>
        <v>A</v>
      </c>
      <c r="B80" s="279" t="str">
        <f>工程量核对表!B79</f>
        <v>主体工程</v>
      </c>
      <c r="C80" s="280" t="str">
        <f>工程量核对表!C79</f>
        <v/>
      </c>
      <c r="D80" s="281"/>
      <c r="E80" s="281"/>
      <c r="F80" s="281"/>
      <c r="G80" s="281">
        <f>SUM(G81:G104)</f>
        <v>0</v>
      </c>
      <c r="H80" s="281"/>
      <c r="I80" s="281"/>
      <c r="J80" s="285"/>
      <c r="K80" s="285"/>
      <c r="L80" s="281">
        <v>49803.76</v>
      </c>
      <c r="M80" s="281"/>
      <c r="N80" s="296"/>
      <c r="O80" s="297"/>
      <c r="P80" s="297"/>
      <c r="Q80" s="310">
        <f ca="1">SUM(Q81:Q104)</f>
        <v>49647.5159624281</v>
      </c>
      <c r="R80" s="310"/>
      <c r="S80" s="310">
        <f ca="1">SUM(S81:S104)</f>
        <v>49647.5159624281</v>
      </c>
      <c r="T80" s="310">
        <f ca="1">SUM(T81:T104)</f>
        <v>-156.244037571888</v>
      </c>
      <c r="U80" s="311"/>
    </row>
    <row r="81" s="162" customFormat="1" ht="25" customHeight="1" spans="1:21">
      <c r="A81" s="208">
        <f>工程量核对表!A80</f>
        <v>1</v>
      </c>
      <c r="B81" s="282" t="str">
        <f>工程量核对表!B80</f>
        <v>土方开挖</v>
      </c>
      <c r="C81" s="210" t="str">
        <f>工程量核对表!C80</f>
        <v>m3</v>
      </c>
      <c r="D81" s="283"/>
      <c r="E81" s="283"/>
      <c r="F81" s="283"/>
      <c r="G81" s="283"/>
      <c r="H81" s="283"/>
      <c r="I81" s="283">
        <v>78.15</v>
      </c>
      <c r="J81" s="284">
        <v>19.7</v>
      </c>
      <c r="K81" s="284"/>
      <c r="L81" s="283">
        <v>1539.53</v>
      </c>
      <c r="M81" s="283"/>
      <c r="N81" s="298">
        <f ca="1">工程量核对表!F80</f>
        <v>58.12224</v>
      </c>
      <c r="O81" s="213">
        <f>O33</f>
        <v>12.15</v>
      </c>
      <c r="P81" s="213"/>
      <c r="Q81" s="312">
        <f ca="1" t="shared" ref="Q81:Q92" si="24">N81*O81</f>
        <v>706.185216</v>
      </c>
      <c r="R81" s="312"/>
      <c r="S81" s="213">
        <f ca="1" t="shared" ref="S81:S92" si="25">Q81-G81</f>
        <v>706.185216</v>
      </c>
      <c r="T81" s="298">
        <f ca="1" t="shared" ref="T81:T92" si="26">Q81-L81</f>
        <v>-833.344784</v>
      </c>
      <c r="U81" s="313" t="s">
        <v>45</v>
      </c>
    </row>
    <row r="82" s="162" customFormat="1" ht="25" customHeight="1" spans="1:21">
      <c r="A82" s="208">
        <f>工程量核对表!A81</f>
        <v>2</v>
      </c>
      <c r="B82" s="282" t="str">
        <f>工程量核对表!B81</f>
        <v>石方开挖</v>
      </c>
      <c r="C82" s="210" t="str">
        <f>工程量核对表!C81</f>
        <v>m3</v>
      </c>
      <c r="D82" s="283"/>
      <c r="E82" s="283"/>
      <c r="F82" s="283"/>
      <c r="G82" s="283"/>
      <c r="H82" s="283"/>
      <c r="I82" s="283">
        <v>52.1</v>
      </c>
      <c r="J82" s="284">
        <v>57.04</v>
      </c>
      <c r="K82" s="284"/>
      <c r="L82" s="283">
        <v>2971.74</v>
      </c>
      <c r="M82" s="283"/>
      <c r="N82" s="298">
        <f ca="1">工程量核对表!F81</f>
        <v>38.74816</v>
      </c>
      <c r="O82" s="213">
        <f>O41</f>
        <v>53.28</v>
      </c>
      <c r="P82" s="213"/>
      <c r="Q82" s="312">
        <f ca="1" t="shared" si="24"/>
        <v>2064.5019648</v>
      </c>
      <c r="R82" s="312"/>
      <c r="S82" s="213">
        <f ca="1" t="shared" si="25"/>
        <v>2064.5019648</v>
      </c>
      <c r="T82" s="298">
        <f ca="1" t="shared" si="26"/>
        <v>-907.2380352</v>
      </c>
      <c r="U82" s="313" t="s">
        <v>45</v>
      </c>
    </row>
    <row r="83" s="162" customFormat="1" ht="25" customHeight="1" spans="1:21">
      <c r="A83" s="208">
        <f>工程量核对表!A82</f>
        <v>3</v>
      </c>
      <c r="B83" s="282" t="str">
        <f>工程量核对表!B82</f>
        <v>土石方回填</v>
      </c>
      <c r="C83" s="210" t="str">
        <f>工程量核对表!C82</f>
        <v>m3</v>
      </c>
      <c r="D83" s="283"/>
      <c r="E83" s="283"/>
      <c r="F83" s="283"/>
      <c r="G83" s="283"/>
      <c r="H83" s="283"/>
      <c r="I83" s="283">
        <v>39.15</v>
      </c>
      <c r="J83" s="284">
        <v>24.9</v>
      </c>
      <c r="K83" s="284"/>
      <c r="L83" s="283">
        <v>974.84</v>
      </c>
      <c r="M83" s="283"/>
      <c r="N83" s="298">
        <f ca="1">工程量核对表!F82</f>
        <v>38.79</v>
      </c>
      <c r="O83" s="213">
        <f>O42</f>
        <v>12.18</v>
      </c>
      <c r="P83" s="213"/>
      <c r="Q83" s="312">
        <f ca="1" t="shared" si="24"/>
        <v>472.4622</v>
      </c>
      <c r="R83" s="312"/>
      <c r="S83" s="213">
        <f ca="1" t="shared" si="25"/>
        <v>472.4622</v>
      </c>
      <c r="T83" s="298">
        <f ca="1" t="shared" si="26"/>
        <v>-502.3778</v>
      </c>
      <c r="U83" s="313" t="s">
        <v>45</v>
      </c>
    </row>
    <row r="84" s="162" customFormat="1" ht="25" customHeight="1" spans="1:21">
      <c r="A84" s="215">
        <f>工程量核对表!A83</f>
        <v>4</v>
      </c>
      <c r="B84" s="282" t="str">
        <f>工程量核对表!B83</f>
        <v>C25砼 2级配 32.5水泥 粒径40mm（底板）</v>
      </c>
      <c r="C84" s="210" t="str">
        <f>工程量核对表!C83</f>
        <v>m3</v>
      </c>
      <c r="D84" s="283"/>
      <c r="E84" s="283"/>
      <c r="F84" s="283"/>
      <c r="G84" s="283"/>
      <c r="H84" s="283"/>
      <c r="I84" s="283">
        <v>4.62</v>
      </c>
      <c r="J84" s="284">
        <v>537.51</v>
      </c>
      <c r="K84" s="284"/>
      <c r="L84" s="283">
        <v>2484.91</v>
      </c>
      <c r="M84" s="283"/>
      <c r="N84" s="298">
        <f ca="1">工程量核对表!F83</f>
        <v>3.0452</v>
      </c>
      <c r="O84" s="213">
        <f>O34</f>
        <v>452.81</v>
      </c>
      <c r="P84" s="213"/>
      <c r="Q84" s="312">
        <f ca="1" t="shared" si="24"/>
        <v>1378.897012</v>
      </c>
      <c r="R84" s="312"/>
      <c r="S84" s="213">
        <f ca="1" t="shared" si="25"/>
        <v>1378.897012</v>
      </c>
      <c r="T84" s="298">
        <f ca="1" t="shared" si="26"/>
        <v>-1106.012988</v>
      </c>
      <c r="U84" s="313" t="s">
        <v>45</v>
      </c>
    </row>
    <row r="85" s="162" customFormat="1" ht="25" customHeight="1" spans="1:21">
      <c r="A85" s="216"/>
      <c r="B85" s="282" t="str">
        <f>工程量核对表!B84</f>
        <v>C25砼 2级配 32.5水泥 粒径40mm（顶板）</v>
      </c>
      <c r="C85" s="210" t="str">
        <f>工程量核对表!C84</f>
        <v>m3</v>
      </c>
      <c r="D85" s="283"/>
      <c r="E85" s="283"/>
      <c r="F85" s="283"/>
      <c r="G85" s="283"/>
      <c r="H85" s="283"/>
      <c r="I85" s="283">
        <v>3.43</v>
      </c>
      <c r="J85" s="284">
        <v>592.81</v>
      </c>
      <c r="K85" s="284"/>
      <c r="L85" s="283">
        <v>2034.52</v>
      </c>
      <c r="M85" s="283"/>
      <c r="N85" s="298">
        <f ca="1">工程量核对表!F84</f>
        <v>3.140928</v>
      </c>
      <c r="O85" s="213">
        <f>O34</f>
        <v>452.81</v>
      </c>
      <c r="P85" s="213"/>
      <c r="Q85" s="312">
        <f ca="1" t="shared" si="24"/>
        <v>1422.24360768</v>
      </c>
      <c r="R85" s="312"/>
      <c r="S85" s="213">
        <f ca="1" t="shared" si="25"/>
        <v>1422.24360768</v>
      </c>
      <c r="T85" s="298">
        <f ca="1" t="shared" si="26"/>
        <v>-612.27639232</v>
      </c>
      <c r="U85" s="313" t="s">
        <v>45</v>
      </c>
    </row>
    <row r="86" s="162" customFormat="1" ht="25" customHeight="1" spans="1:21">
      <c r="A86" s="216"/>
      <c r="B86" s="282" t="str">
        <f>工程量核对表!B85</f>
        <v>C25砼 2级配 32.5水泥 粒径40mm（梁）</v>
      </c>
      <c r="C86" s="210" t="str">
        <f>工程量核对表!C85</f>
        <v>m3</v>
      </c>
      <c r="D86" s="283"/>
      <c r="E86" s="283"/>
      <c r="F86" s="283"/>
      <c r="G86" s="283"/>
      <c r="H86" s="283"/>
      <c r="I86" s="283">
        <v>0.4</v>
      </c>
      <c r="J86" s="284">
        <v>591.81</v>
      </c>
      <c r="K86" s="284"/>
      <c r="L86" s="283">
        <v>234.75</v>
      </c>
      <c r="M86" s="283"/>
      <c r="N86" s="298">
        <f ca="1">工程量核对表!F85</f>
        <v>0.396</v>
      </c>
      <c r="O86" s="213">
        <f>O34</f>
        <v>452.81</v>
      </c>
      <c r="P86" s="213"/>
      <c r="Q86" s="312">
        <f ca="1" t="shared" si="24"/>
        <v>179.31276</v>
      </c>
      <c r="R86" s="312"/>
      <c r="S86" s="213">
        <f ca="1" t="shared" si="25"/>
        <v>179.31276</v>
      </c>
      <c r="T86" s="298">
        <f ca="1" t="shared" si="26"/>
        <v>-55.43724</v>
      </c>
      <c r="U86" s="313" t="s">
        <v>45</v>
      </c>
    </row>
    <row r="87" s="162" customFormat="1" ht="25" customHeight="1" spans="1:21">
      <c r="A87" s="217"/>
      <c r="B87" s="282" t="str">
        <f>工程量核对表!B86</f>
        <v>C25砼 2级配 32.5水泥 粒径40mm（侧墙）</v>
      </c>
      <c r="C87" s="210" t="str">
        <f>工程量核对表!C86</f>
        <v>m3</v>
      </c>
      <c r="D87" s="283"/>
      <c r="E87" s="283"/>
      <c r="F87" s="283"/>
      <c r="G87" s="283"/>
      <c r="H87" s="283"/>
      <c r="I87" s="283">
        <v>15.84</v>
      </c>
      <c r="J87" s="284">
        <v>558.92</v>
      </c>
      <c r="K87" s="284"/>
      <c r="L87" s="283">
        <v>8853.29</v>
      </c>
      <c r="M87" s="283"/>
      <c r="N87" s="298">
        <f ca="1">工程量核对表!F86</f>
        <v>15.485184</v>
      </c>
      <c r="O87" s="213">
        <f>O34</f>
        <v>452.81</v>
      </c>
      <c r="P87" s="213"/>
      <c r="Q87" s="312">
        <f ca="1" t="shared" si="24"/>
        <v>7011.84616704</v>
      </c>
      <c r="R87" s="312"/>
      <c r="S87" s="213">
        <f ca="1" t="shared" si="25"/>
        <v>7011.84616704</v>
      </c>
      <c r="T87" s="298">
        <f ca="1" t="shared" si="26"/>
        <v>-1841.44383296</v>
      </c>
      <c r="U87" s="313" t="s">
        <v>45</v>
      </c>
    </row>
    <row r="88" s="162" customFormat="1" ht="25" customHeight="1" spans="1:21">
      <c r="A88" s="208">
        <f>工程量核对表!A87</f>
        <v>5</v>
      </c>
      <c r="B88" s="282" t="str">
        <f>工程量核对表!B87</f>
        <v>M7.5砖砌</v>
      </c>
      <c r="C88" s="210" t="str">
        <f>工程量核对表!C87</f>
        <v>m3</v>
      </c>
      <c r="D88" s="283"/>
      <c r="E88" s="283"/>
      <c r="F88" s="283"/>
      <c r="G88" s="283"/>
      <c r="H88" s="283"/>
      <c r="I88" s="283"/>
      <c r="J88" s="284">
        <v>582.15</v>
      </c>
      <c r="K88" s="284"/>
      <c r="L88" s="283">
        <v>0</v>
      </c>
      <c r="M88" s="283"/>
      <c r="N88" s="298">
        <f ca="1">工程量核对表!F87</f>
        <v>0</v>
      </c>
      <c r="O88" s="213">
        <f>O16</f>
        <v>418.59</v>
      </c>
      <c r="P88" s="213"/>
      <c r="Q88" s="312">
        <f ca="1" t="shared" si="24"/>
        <v>0</v>
      </c>
      <c r="R88" s="312"/>
      <c r="S88" s="213">
        <f ca="1" t="shared" si="25"/>
        <v>0</v>
      </c>
      <c r="T88" s="298">
        <f ca="1" t="shared" si="26"/>
        <v>0</v>
      </c>
      <c r="U88" s="313" t="s">
        <v>45</v>
      </c>
    </row>
    <row r="89" s="162" customFormat="1" ht="25" customHeight="1" spans="1:21">
      <c r="A89" s="208">
        <f>工程量核对表!A88</f>
        <v>6</v>
      </c>
      <c r="B89" s="282" t="str">
        <f>工程量核对表!B88</f>
        <v>木模制安</v>
      </c>
      <c r="C89" s="210" t="str">
        <f>工程量核对表!C88</f>
        <v>m2</v>
      </c>
      <c r="D89" s="283"/>
      <c r="E89" s="283"/>
      <c r="F89" s="283"/>
      <c r="G89" s="283"/>
      <c r="H89" s="283"/>
      <c r="I89" s="283">
        <v>160.13</v>
      </c>
      <c r="J89" s="284">
        <v>58.41</v>
      </c>
      <c r="K89" s="284"/>
      <c r="L89" s="283">
        <v>9353.08</v>
      </c>
      <c r="M89" s="283"/>
      <c r="N89" s="298">
        <f ca="1">工程量核对表!F88</f>
        <v>155.4912</v>
      </c>
      <c r="O89" s="213">
        <f>O37</f>
        <v>59.86</v>
      </c>
      <c r="P89" s="213"/>
      <c r="Q89" s="312">
        <f ca="1" t="shared" si="24"/>
        <v>9307.703232</v>
      </c>
      <c r="R89" s="312"/>
      <c r="S89" s="213">
        <f ca="1" t="shared" si="25"/>
        <v>9307.703232</v>
      </c>
      <c r="T89" s="298">
        <f ca="1" t="shared" si="26"/>
        <v>-45.3767680000001</v>
      </c>
      <c r="U89" s="313" t="s">
        <v>45</v>
      </c>
    </row>
    <row r="90" s="162" customFormat="1" ht="25" customHeight="1" spans="1:21">
      <c r="A90" s="208">
        <f>工程量核对表!A89</f>
        <v>7</v>
      </c>
      <c r="B90" s="282" t="str">
        <f>工程量核对表!B89</f>
        <v>钢筋制安</v>
      </c>
      <c r="C90" s="210" t="s">
        <v>57</v>
      </c>
      <c r="D90" s="283"/>
      <c r="E90" s="283"/>
      <c r="F90" s="283"/>
      <c r="G90" s="283"/>
      <c r="H90" s="283"/>
      <c r="I90" s="283">
        <v>1.57</v>
      </c>
      <c r="J90" s="284">
        <v>6596.11</v>
      </c>
      <c r="K90" s="284"/>
      <c r="L90" s="283">
        <v>10323.83</v>
      </c>
      <c r="M90" s="283"/>
      <c r="N90" s="298">
        <f ca="1">工程量核对表!F89/1000</f>
        <v>1.2631798</v>
      </c>
      <c r="O90" s="213">
        <f>O38</f>
        <v>5920</v>
      </c>
      <c r="P90" s="213"/>
      <c r="Q90" s="312">
        <f ca="1" t="shared" si="24"/>
        <v>7478.024416</v>
      </c>
      <c r="R90" s="312"/>
      <c r="S90" s="213">
        <f ca="1" t="shared" si="25"/>
        <v>7478.024416</v>
      </c>
      <c r="T90" s="298">
        <f ca="1" t="shared" si="26"/>
        <v>-2845.805584</v>
      </c>
      <c r="U90" s="313" t="s">
        <v>58</v>
      </c>
    </row>
    <row r="91" s="162" customFormat="1" ht="25" customHeight="1" spans="1:21">
      <c r="A91" s="208">
        <f>工程量核对表!A90</f>
        <v>8</v>
      </c>
      <c r="B91" s="282" t="str">
        <f>工程量核对表!B90</f>
        <v>M10沙浆抹面</v>
      </c>
      <c r="C91" s="210" t="str">
        <f>工程量核对表!C90</f>
        <v>m2</v>
      </c>
      <c r="D91" s="314"/>
      <c r="E91" s="283"/>
      <c r="F91" s="283"/>
      <c r="G91" s="283"/>
      <c r="H91" s="283"/>
      <c r="I91" s="283">
        <v>85.88</v>
      </c>
      <c r="J91" s="284">
        <v>17.05</v>
      </c>
      <c r="K91" s="284"/>
      <c r="L91" s="283">
        <v>1464.23</v>
      </c>
      <c r="M91" s="283"/>
      <c r="N91" s="298">
        <f ca="1">工程量核对表!F90</f>
        <v>0</v>
      </c>
      <c r="O91" s="213">
        <f>O39</f>
        <v>11.93</v>
      </c>
      <c r="P91" s="213"/>
      <c r="Q91" s="312">
        <f ca="1" t="shared" si="24"/>
        <v>0</v>
      </c>
      <c r="R91" s="312"/>
      <c r="S91" s="213">
        <f ca="1" t="shared" si="25"/>
        <v>0</v>
      </c>
      <c r="T91" s="298">
        <f ca="1" t="shared" si="26"/>
        <v>-1464.23</v>
      </c>
      <c r="U91" s="313" t="s">
        <v>45</v>
      </c>
    </row>
    <row r="92" s="162" customFormat="1" ht="25" customHeight="1" spans="1:21">
      <c r="A92" s="208">
        <f>工程量核对表!A91</f>
        <v>9</v>
      </c>
      <c r="B92" s="282" t="str">
        <f>工程量核对表!B91</f>
        <v>M10沙浆抹面瓷砖粘贴</v>
      </c>
      <c r="C92" s="210" t="str">
        <f>工程量核对表!C91</f>
        <v>m2</v>
      </c>
      <c r="D92" s="283"/>
      <c r="E92" s="283"/>
      <c r="F92" s="283"/>
      <c r="G92" s="283"/>
      <c r="H92" s="283"/>
      <c r="I92" s="283">
        <v>17.1</v>
      </c>
      <c r="J92" s="284">
        <v>95.34</v>
      </c>
      <c r="K92" s="284"/>
      <c r="L92" s="283">
        <v>1630.31</v>
      </c>
      <c r="M92" s="283"/>
      <c r="N92" s="298">
        <f ca="1">工程量核对表!F91</f>
        <v>14.608</v>
      </c>
      <c r="O92" s="213">
        <f>O20</f>
        <v>88.6318432432432</v>
      </c>
      <c r="P92" s="213"/>
      <c r="Q92" s="312">
        <f ca="1" t="shared" si="24"/>
        <v>1294.7339660973</v>
      </c>
      <c r="R92" s="312"/>
      <c r="S92" s="213">
        <f ca="1" t="shared" si="25"/>
        <v>1294.7339660973</v>
      </c>
      <c r="T92" s="298">
        <f ca="1" t="shared" si="26"/>
        <v>-335.576033902703</v>
      </c>
      <c r="U92" s="313" t="s">
        <v>45</v>
      </c>
    </row>
    <row r="93" s="162" customFormat="1" ht="25" customHeight="1" spans="1:21">
      <c r="A93" s="208">
        <f>工程量核对表!A92</f>
        <v>10</v>
      </c>
      <c r="B93" s="282" t="str">
        <f>工程量核对表!B92</f>
        <v>人力二次转运材料（运距300米)</v>
      </c>
      <c r="C93" s="210" t="str">
        <f>工程量核对表!C92</f>
        <v>吨/km</v>
      </c>
      <c r="D93" s="283"/>
      <c r="E93" s="283"/>
      <c r="F93" s="283"/>
      <c r="G93" s="283"/>
      <c r="H93" s="283"/>
      <c r="I93" s="283"/>
      <c r="J93" s="284"/>
      <c r="K93" s="284"/>
      <c r="L93" s="283"/>
      <c r="M93" s="283"/>
      <c r="N93" s="298"/>
      <c r="O93" s="213"/>
      <c r="P93" s="213"/>
      <c r="Q93" s="312"/>
      <c r="R93" s="312"/>
      <c r="S93" s="213"/>
      <c r="T93" s="298"/>
      <c r="U93" s="313"/>
    </row>
    <row r="94" s="162" customFormat="1" ht="25" customHeight="1" spans="1:21">
      <c r="A94" s="208">
        <f>工程量核对表!A93</f>
        <v>11</v>
      </c>
      <c r="B94" s="282" t="str">
        <f>工程量核对表!B93</f>
        <v>通气进人孔</v>
      </c>
      <c r="C94" s="210" t="str">
        <f>工程量核对表!C93</f>
        <v>套</v>
      </c>
      <c r="D94" s="283"/>
      <c r="E94" s="283"/>
      <c r="F94" s="283"/>
      <c r="G94" s="283"/>
      <c r="H94" s="283"/>
      <c r="I94" s="283">
        <v>1</v>
      </c>
      <c r="J94" s="284">
        <v>500</v>
      </c>
      <c r="K94" s="284"/>
      <c r="L94" s="283">
        <v>500</v>
      </c>
      <c r="M94" s="283"/>
      <c r="N94" s="298">
        <f ca="1">工程量核对表!F93</f>
        <v>1</v>
      </c>
      <c r="O94" s="213">
        <f t="shared" ref="O94:O99" si="27">O22</f>
        <v>464.81981981982</v>
      </c>
      <c r="P94" s="213"/>
      <c r="Q94" s="312">
        <f ca="1" t="shared" ref="Q94:Q98" si="28">N94*O94</f>
        <v>464.81981981982</v>
      </c>
      <c r="R94" s="312"/>
      <c r="S94" s="213">
        <f ca="1" t="shared" ref="S94:S104" si="29">Q94-G94</f>
        <v>464.81981981982</v>
      </c>
      <c r="T94" s="298">
        <f ca="1" t="shared" ref="T94:T104" si="30">Q94-L94</f>
        <v>-35.18018018018</v>
      </c>
      <c r="U94" s="313" t="s">
        <v>45</v>
      </c>
    </row>
    <row r="95" s="162" customFormat="1" ht="25" customHeight="1" spans="1:21">
      <c r="A95" s="208">
        <f>工程量核对表!A94</f>
        <v>12</v>
      </c>
      <c r="B95" s="282" t="str">
        <f>工程量核对表!B94</f>
        <v>电力线</v>
      </c>
      <c r="C95" s="210" t="str">
        <f>工程量核对表!C94</f>
        <v>m</v>
      </c>
      <c r="D95" s="283"/>
      <c r="E95" s="283"/>
      <c r="F95" s="283"/>
      <c r="G95" s="283"/>
      <c r="H95" s="283"/>
      <c r="I95" s="283"/>
      <c r="J95" s="284"/>
      <c r="K95" s="284"/>
      <c r="L95" s="283"/>
      <c r="M95" s="283"/>
      <c r="N95" s="298">
        <f ca="1">工程量核对表!F94</f>
        <v>100</v>
      </c>
      <c r="O95" s="213">
        <f t="shared" si="27"/>
        <v>46.481981981982</v>
      </c>
      <c r="P95" s="213"/>
      <c r="Q95" s="312">
        <f ca="1" t="shared" si="28"/>
        <v>4648.1981981982</v>
      </c>
      <c r="R95" s="312"/>
      <c r="S95" s="213">
        <f ca="1" t="shared" si="29"/>
        <v>4648.1981981982</v>
      </c>
      <c r="T95" s="298">
        <f ca="1" t="shared" si="30"/>
        <v>4648.1981981982</v>
      </c>
      <c r="U95" s="313" t="s">
        <v>45</v>
      </c>
    </row>
    <row r="96" s="162" customFormat="1" ht="25" customHeight="1" spans="1:21">
      <c r="A96" s="208">
        <f>工程量核对表!A95</f>
        <v>13</v>
      </c>
      <c r="B96" s="282" t="str">
        <f>工程量核对表!B95</f>
        <v>杀毒器</v>
      </c>
      <c r="C96" s="210" t="str">
        <f>工程量核对表!C95</f>
        <v>台</v>
      </c>
      <c r="D96" s="283"/>
      <c r="E96" s="283"/>
      <c r="F96" s="283"/>
      <c r="G96" s="283"/>
      <c r="H96" s="283"/>
      <c r="I96" s="283"/>
      <c r="J96" s="284"/>
      <c r="K96" s="284"/>
      <c r="L96" s="283"/>
      <c r="M96" s="283"/>
      <c r="N96" s="298">
        <f ca="1">工程量核对表!F95</f>
        <v>1</v>
      </c>
      <c r="O96" s="213">
        <f t="shared" si="27"/>
        <v>7437.11711711712</v>
      </c>
      <c r="P96" s="213"/>
      <c r="Q96" s="312">
        <f ca="1" t="shared" si="28"/>
        <v>7437.11711711712</v>
      </c>
      <c r="R96" s="312"/>
      <c r="S96" s="213">
        <f ca="1" t="shared" si="29"/>
        <v>7437.11711711712</v>
      </c>
      <c r="T96" s="298">
        <f ca="1" t="shared" si="30"/>
        <v>7437.11711711712</v>
      </c>
      <c r="U96" s="313" t="s">
        <v>45</v>
      </c>
    </row>
    <row r="97" s="162" customFormat="1" ht="25" customHeight="1" spans="1:21">
      <c r="A97" s="208">
        <f>工程量核对表!A96</f>
        <v>14</v>
      </c>
      <c r="B97" s="282" t="str">
        <f>工程量核对表!B96</f>
        <v>抽水泵（200m）</v>
      </c>
      <c r="C97" s="210" t="str">
        <f>工程量核对表!C96</f>
        <v>台</v>
      </c>
      <c r="D97" s="283"/>
      <c r="E97" s="283"/>
      <c r="F97" s="283"/>
      <c r="G97" s="283"/>
      <c r="H97" s="283"/>
      <c r="I97" s="283"/>
      <c r="J97" s="284"/>
      <c r="K97" s="284"/>
      <c r="L97" s="283"/>
      <c r="M97" s="283"/>
      <c r="N97" s="298">
        <f ca="1">工程量核对表!F96</f>
        <v>0</v>
      </c>
      <c r="O97" s="213">
        <f t="shared" si="27"/>
        <v>23240.990990991</v>
      </c>
      <c r="P97" s="213"/>
      <c r="Q97" s="312">
        <f ca="1" t="shared" si="28"/>
        <v>0</v>
      </c>
      <c r="R97" s="312"/>
      <c r="S97" s="213">
        <f ca="1" t="shared" si="29"/>
        <v>0</v>
      </c>
      <c r="T97" s="298">
        <f ca="1" t="shared" si="30"/>
        <v>0</v>
      </c>
      <c r="U97" s="313" t="s">
        <v>45</v>
      </c>
    </row>
    <row r="98" s="162" customFormat="1" ht="25" customHeight="1" spans="1:21">
      <c r="A98" s="208">
        <f>工程量核对表!A97</f>
        <v>15</v>
      </c>
      <c r="B98" s="282" t="str">
        <f>工程量核对表!B97</f>
        <v>一体化净化器</v>
      </c>
      <c r="C98" s="210" t="str">
        <f>工程量核对表!C97</f>
        <v>台</v>
      </c>
      <c r="D98" s="283"/>
      <c r="E98" s="283"/>
      <c r="F98" s="283"/>
      <c r="G98" s="283"/>
      <c r="H98" s="283"/>
      <c r="I98" s="283"/>
      <c r="J98" s="284"/>
      <c r="K98" s="284"/>
      <c r="L98" s="283"/>
      <c r="M98" s="283"/>
      <c r="N98" s="298">
        <f ca="1">工程量核对表!F97</f>
        <v>0</v>
      </c>
      <c r="O98" s="213">
        <f t="shared" si="27"/>
        <v>23240.990990991</v>
      </c>
      <c r="P98" s="213"/>
      <c r="Q98" s="312">
        <f ca="1" t="shared" si="28"/>
        <v>0</v>
      </c>
      <c r="R98" s="312"/>
      <c r="S98" s="213">
        <f ca="1" t="shared" si="29"/>
        <v>0</v>
      </c>
      <c r="T98" s="298">
        <f ca="1" t="shared" si="30"/>
        <v>0</v>
      </c>
      <c r="U98" s="313" t="s">
        <v>45</v>
      </c>
    </row>
    <row r="99" s="162" customFormat="1" ht="25" customHeight="1" spans="1:21">
      <c r="A99" s="208" t="str">
        <f>工程量核对表!A98</f>
        <v>新增</v>
      </c>
      <c r="B99" s="282" t="str">
        <f>工程量核对表!B98</f>
        <v>C20砼垫层</v>
      </c>
      <c r="C99" s="210" t="str">
        <f>工程量核对表!C98</f>
        <v>m3</v>
      </c>
      <c r="D99" s="283"/>
      <c r="E99" s="283"/>
      <c r="F99" s="283"/>
      <c r="G99" s="283"/>
      <c r="H99" s="283"/>
      <c r="I99" s="283">
        <v>1.54</v>
      </c>
      <c r="J99" s="284">
        <v>531.58</v>
      </c>
      <c r="K99" s="284"/>
      <c r="L99" s="283">
        <v>819.16</v>
      </c>
      <c r="M99" s="283"/>
      <c r="N99" s="298">
        <f ca="1">工程量核对表!F98</f>
        <v>1.5226</v>
      </c>
      <c r="O99" s="213">
        <f t="shared" si="27"/>
        <v>448.73</v>
      </c>
      <c r="P99" s="213"/>
      <c r="Q99" s="312">
        <f ca="1" t="shared" ref="Q99:Q104" si="31">N99*O99</f>
        <v>683.236298</v>
      </c>
      <c r="R99" s="312"/>
      <c r="S99" s="213">
        <f ca="1" t="shared" si="29"/>
        <v>683.236298</v>
      </c>
      <c r="T99" s="298">
        <f ca="1" t="shared" si="30"/>
        <v>-135.923702</v>
      </c>
      <c r="U99" s="313" t="s">
        <v>59</v>
      </c>
    </row>
    <row r="100" s="162" customFormat="1" ht="25" customHeight="1" spans="1:21">
      <c r="A100" s="208" t="str">
        <f>工程量核对表!A99</f>
        <v>新增</v>
      </c>
      <c r="B100" s="282" t="str">
        <f>工程量核对表!B99</f>
        <v>C20砼地面</v>
      </c>
      <c r="C100" s="210" t="str">
        <f>工程量核对表!C99</f>
        <v>m3</v>
      </c>
      <c r="D100" s="283"/>
      <c r="E100" s="283"/>
      <c r="F100" s="283"/>
      <c r="G100" s="283"/>
      <c r="H100" s="283"/>
      <c r="I100" s="283">
        <v>1.42</v>
      </c>
      <c r="J100" s="284">
        <v>537.51</v>
      </c>
      <c r="K100" s="284"/>
      <c r="L100" s="283">
        <v>761.65</v>
      </c>
      <c r="M100" s="283"/>
      <c r="N100" s="298">
        <f ca="1">工程量核对表!F99</f>
        <v>1.0344</v>
      </c>
      <c r="O100" s="213">
        <f>O27</f>
        <v>448.73</v>
      </c>
      <c r="P100" s="213"/>
      <c r="Q100" s="312">
        <f ca="1" t="shared" si="31"/>
        <v>464.166312</v>
      </c>
      <c r="R100" s="312"/>
      <c r="S100" s="213">
        <f ca="1" t="shared" si="29"/>
        <v>464.166312</v>
      </c>
      <c r="T100" s="298">
        <f ca="1" t="shared" si="30"/>
        <v>-297.483688</v>
      </c>
      <c r="U100" s="313" t="s">
        <v>59</v>
      </c>
    </row>
    <row r="101" s="162" customFormat="1" ht="25" customHeight="1" spans="1:21">
      <c r="A101" s="208" t="str">
        <f>工程量核对表!A100</f>
        <v>新增</v>
      </c>
      <c r="B101" s="282" t="str">
        <f>工程量核对表!B100</f>
        <v>爬梯制安</v>
      </c>
      <c r="C101" s="210" t="str">
        <f>工程量核对表!C100</f>
        <v>步</v>
      </c>
      <c r="D101" s="283"/>
      <c r="E101" s="283"/>
      <c r="F101" s="283"/>
      <c r="G101" s="283"/>
      <c r="H101" s="283"/>
      <c r="I101" s="283">
        <v>7</v>
      </c>
      <c r="J101" s="284">
        <v>61.4</v>
      </c>
      <c r="K101" s="284"/>
      <c r="L101" s="283">
        <v>429.8</v>
      </c>
      <c r="M101" s="283"/>
      <c r="N101" s="298">
        <f ca="1">工程量核对表!F100</f>
        <v>7</v>
      </c>
      <c r="O101" s="213">
        <f>O28</f>
        <v>57.0798738738739</v>
      </c>
      <c r="P101" s="213"/>
      <c r="Q101" s="312">
        <f ca="1" t="shared" si="31"/>
        <v>399.559117117117</v>
      </c>
      <c r="R101" s="312"/>
      <c r="S101" s="213">
        <f ca="1" t="shared" si="29"/>
        <v>399.559117117117</v>
      </c>
      <c r="T101" s="298">
        <f ca="1" t="shared" si="30"/>
        <v>-30.2408828828827</v>
      </c>
      <c r="U101" s="313" t="s">
        <v>60</v>
      </c>
    </row>
    <row r="102" s="162" customFormat="1" ht="25" customHeight="1" spans="1:21">
      <c r="A102" s="208" t="str">
        <f>工程量核对表!A101</f>
        <v>新增</v>
      </c>
      <c r="B102" s="282" t="str">
        <f>工程量核对表!B101</f>
        <v>脚手架</v>
      </c>
      <c r="C102" s="210" t="str">
        <f>工程量核对表!C101</f>
        <v>m2</v>
      </c>
      <c r="D102" s="283"/>
      <c r="E102" s="283"/>
      <c r="F102" s="283"/>
      <c r="G102" s="283"/>
      <c r="H102" s="283"/>
      <c r="I102" s="283">
        <v>23.6</v>
      </c>
      <c r="J102" s="284">
        <v>17.93</v>
      </c>
      <c r="K102" s="284"/>
      <c r="L102" s="283">
        <v>423.12</v>
      </c>
      <c r="M102" s="283"/>
      <c r="N102" s="298">
        <f ca="1">工程量核对表!F101</f>
        <v>0</v>
      </c>
      <c r="O102" s="213">
        <f>J102/1.11*1.0319</f>
        <v>16.6684387387387</v>
      </c>
      <c r="P102" s="213"/>
      <c r="Q102" s="312">
        <f ca="1" t="shared" si="31"/>
        <v>0</v>
      </c>
      <c r="R102" s="312"/>
      <c r="S102" s="213">
        <f ca="1" t="shared" si="29"/>
        <v>0</v>
      </c>
      <c r="T102" s="298">
        <f ca="1" t="shared" si="30"/>
        <v>-423.12</v>
      </c>
      <c r="U102" s="313"/>
    </row>
    <row r="103" s="162" customFormat="1" ht="25" customHeight="1" spans="1:21">
      <c r="A103" s="208" t="str">
        <f>工程量核对表!A102</f>
        <v>新增</v>
      </c>
      <c r="B103" s="282" t="str">
        <f>工程量核对表!B102</f>
        <v>池顶不锈钢护栏</v>
      </c>
      <c r="C103" s="210" t="str">
        <f>工程量核对表!C102</f>
        <v>m2</v>
      </c>
      <c r="D103" s="283"/>
      <c r="E103" s="283"/>
      <c r="F103" s="283"/>
      <c r="G103" s="283"/>
      <c r="H103" s="283"/>
      <c r="I103" s="283">
        <v>32.7</v>
      </c>
      <c r="J103" s="284">
        <v>150</v>
      </c>
      <c r="K103" s="284"/>
      <c r="L103" s="283">
        <v>4905</v>
      </c>
      <c r="M103" s="283"/>
      <c r="N103" s="298">
        <f ca="1">工程量核对表!F102</f>
        <v>29.7</v>
      </c>
      <c r="O103" s="213">
        <f>O30</f>
        <v>139.445945945946</v>
      </c>
      <c r="P103" s="213"/>
      <c r="Q103" s="312">
        <f ca="1" t="shared" si="31"/>
        <v>4141.5445945946</v>
      </c>
      <c r="R103" s="312"/>
      <c r="S103" s="213">
        <f ca="1" t="shared" si="29"/>
        <v>4141.5445945946</v>
      </c>
      <c r="T103" s="298">
        <f ca="1" t="shared" si="30"/>
        <v>-763.455405405404</v>
      </c>
      <c r="U103" s="313" t="s">
        <v>45</v>
      </c>
    </row>
    <row r="104" s="162" customFormat="1" ht="25" customHeight="1" spans="1:21">
      <c r="A104" s="208" t="str">
        <f>工程量核对表!A103</f>
        <v>新增</v>
      </c>
      <c r="B104" s="282" t="str">
        <f>工程量核对表!B103</f>
        <v>饮水安全标志牌</v>
      </c>
      <c r="C104" s="210" t="str">
        <f>工程量核对表!C103</f>
        <v>个</v>
      </c>
      <c r="D104" s="283"/>
      <c r="E104" s="283"/>
      <c r="F104" s="283"/>
      <c r="G104" s="283"/>
      <c r="H104" s="283"/>
      <c r="I104" s="283">
        <v>1</v>
      </c>
      <c r="J104" s="284">
        <v>100</v>
      </c>
      <c r="K104" s="284"/>
      <c r="L104" s="283">
        <v>100</v>
      </c>
      <c r="M104" s="283"/>
      <c r="N104" s="298">
        <f ca="1">工程量核对表!F103</f>
        <v>1</v>
      </c>
      <c r="O104" s="213">
        <f>O31</f>
        <v>92.963963963964</v>
      </c>
      <c r="P104" s="213"/>
      <c r="Q104" s="312">
        <f ca="1" t="shared" si="31"/>
        <v>92.963963963964</v>
      </c>
      <c r="R104" s="312"/>
      <c r="S104" s="213">
        <f ca="1" t="shared" si="29"/>
        <v>92.963963963964</v>
      </c>
      <c r="T104" s="298">
        <f ca="1" t="shared" si="30"/>
        <v>-7.03603603603599</v>
      </c>
      <c r="U104" s="313" t="s">
        <v>60</v>
      </c>
    </row>
    <row r="105" s="162" customFormat="1" ht="25" customHeight="1" spans="1:21">
      <c r="A105" s="278" t="str">
        <f>工程量核对表!A104</f>
        <v>B(新增)</v>
      </c>
      <c r="B105" s="279" t="str">
        <f>工程量核对表!B104</f>
        <v>排污、供水管工程</v>
      </c>
      <c r="C105" s="280"/>
      <c r="D105" s="281"/>
      <c r="E105" s="281"/>
      <c r="F105" s="281"/>
      <c r="G105" s="281">
        <f>SUM(G106:G108)</f>
        <v>0</v>
      </c>
      <c r="H105" s="281"/>
      <c r="I105" s="281"/>
      <c r="J105" s="285"/>
      <c r="K105" s="285"/>
      <c r="L105" s="281">
        <v>1231.47</v>
      </c>
      <c r="M105" s="281"/>
      <c r="N105" s="296"/>
      <c r="O105" s="297"/>
      <c r="P105" s="297"/>
      <c r="Q105" s="310">
        <f ca="1">SUM(Q106:Q109)</f>
        <v>882.636368</v>
      </c>
      <c r="R105" s="310"/>
      <c r="S105" s="310">
        <f ca="1" t="shared" ref="Q105:T105" si="32">SUM(S106:S109)</f>
        <v>882.636368</v>
      </c>
      <c r="T105" s="310">
        <f ca="1" t="shared" si="32"/>
        <v>-348.843632</v>
      </c>
      <c r="U105" s="311"/>
    </row>
    <row r="106" s="162" customFormat="1" ht="25" customHeight="1" spans="1:21">
      <c r="A106" s="208">
        <f>工程量核对表!A105</f>
        <v>1</v>
      </c>
      <c r="B106" s="282" t="str">
        <f>工程量核对表!B105</f>
        <v>土方开挖</v>
      </c>
      <c r="C106" s="210" t="str">
        <f>工程量核对表!C105</f>
        <v>m3</v>
      </c>
      <c r="D106" s="283"/>
      <c r="E106" s="283"/>
      <c r="F106" s="283"/>
      <c r="G106" s="283"/>
      <c r="H106" s="283"/>
      <c r="I106" s="283">
        <v>10.66</v>
      </c>
      <c r="J106" s="284">
        <v>19.7</v>
      </c>
      <c r="K106" s="284"/>
      <c r="L106" s="283">
        <v>210.05</v>
      </c>
      <c r="M106" s="283"/>
      <c r="N106" s="298">
        <f ca="1">工程量核对表!F105</f>
        <v>10.6624</v>
      </c>
      <c r="O106" s="213">
        <f>O33</f>
        <v>12.15</v>
      </c>
      <c r="P106" s="213"/>
      <c r="Q106" s="312">
        <f ca="1">N106*O106</f>
        <v>129.54816</v>
      </c>
      <c r="R106" s="312"/>
      <c r="S106" s="213">
        <f ca="1">Q106-G106</f>
        <v>129.54816</v>
      </c>
      <c r="T106" s="298">
        <f ca="1">Q106-L106</f>
        <v>-80.50184</v>
      </c>
      <c r="U106" s="313" t="s">
        <v>45</v>
      </c>
    </row>
    <row r="107" s="162" customFormat="1" ht="25" customHeight="1" spans="1:21">
      <c r="A107" s="208">
        <f>工程量核对表!A106</f>
        <v>2</v>
      </c>
      <c r="B107" s="282" t="str">
        <f>工程量核对表!B106</f>
        <v>石方开挖</v>
      </c>
      <c r="C107" s="210" t="str">
        <f>工程量核对表!C106</f>
        <v>m3</v>
      </c>
      <c r="D107" s="283"/>
      <c r="E107" s="283"/>
      <c r="F107" s="283"/>
      <c r="G107" s="283"/>
      <c r="H107" s="283"/>
      <c r="I107" s="283">
        <v>2.67</v>
      </c>
      <c r="J107" s="284">
        <v>57.04</v>
      </c>
      <c r="K107" s="284"/>
      <c r="L107" s="283">
        <v>152.05</v>
      </c>
      <c r="M107" s="283"/>
      <c r="N107" s="298">
        <f ca="1">工程量核对表!F106</f>
        <v>2.6656</v>
      </c>
      <c r="O107" s="213">
        <f>O41</f>
        <v>53.28</v>
      </c>
      <c r="P107" s="213"/>
      <c r="Q107" s="312">
        <f ca="1">N107*O107</f>
        <v>142.023168</v>
      </c>
      <c r="R107" s="312"/>
      <c r="S107" s="213">
        <f ca="1">Q107-G107</f>
        <v>142.023168</v>
      </c>
      <c r="T107" s="298">
        <f ca="1">Q107-L107</f>
        <v>-10.026832</v>
      </c>
      <c r="U107" s="313" t="s">
        <v>45</v>
      </c>
    </row>
    <row r="108" s="162" customFormat="1" ht="25" customHeight="1" spans="1:21">
      <c r="A108" s="208">
        <f>工程量核对表!A107</f>
        <v>3</v>
      </c>
      <c r="B108" s="282" t="str">
        <f>工程量核对表!B107</f>
        <v>土石方回填</v>
      </c>
      <c r="C108" s="210" t="str">
        <f>工程量核对表!C107</f>
        <v>m3</v>
      </c>
      <c r="D108" s="283"/>
      <c r="E108" s="283"/>
      <c r="F108" s="283"/>
      <c r="G108" s="283"/>
      <c r="H108" s="283"/>
      <c r="I108" s="283">
        <v>13.33</v>
      </c>
      <c r="J108" s="284">
        <v>24.9</v>
      </c>
      <c r="K108" s="284"/>
      <c r="L108" s="283">
        <v>331.87</v>
      </c>
      <c r="M108" s="283"/>
      <c r="N108" s="298">
        <f ca="1">工程量核对表!F107</f>
        <v>13.328</v>
      </c>
      <c r="O108" s="213">
        <f>O42</f>
        <v>12.18</v>
      </c>
      <c r="P108" s="213"/>
      <c r="Q108" s="312">
        <f ca="1">N108*O108</f>
        <v>162.33504</v>
      </c>
      <c r="R108" s="312"/>
      <c r="S108" s="213">
        <f ca="1">Q108-G108</f>
        <v>162.33504</v>
      </c>
      <c r="T108" s="298">
        <f ca="1">Q108-L108</f>
        <v>-169.53496</v>
      </c>
      <c r="U108" s="313" t="s">
        <v>45</v>
      </c>
    </row>
    <row r="109" s="162" customFormat="1" ht="25" customHeight="1" spans="1:21">
      <c r="A109" s="208">
        <f>工程量核对表!A108</f>
        <v>4</v>
      </c>
      <c r="B109" s="282" t="str">
        <f>工程量核对表!B108</f>
        <v>C20砼 截留环（2个）</v>
      </c>
      <c r="C109" s="210" t="str">
        <f>工程量核对表!C108</f>
        <v>m3</v>
      </c>
      <c r="D109" s="283"/>
      <c r="E109" s="283"/>
      <c r="F109" s="283"/>
      <c r="G109" s="283"/>
      <c r="H109" s="283"/>
      <c r="I109" s="283">
        <v>1</v>
      </c>
      <c r="J109" s="284">
        <v>537.51</v>
      </c>
      <c r="K109" s="284"/>
      <c r="L109" s="283">
        <v>537.51</v>
      </c>
      <c r="M109" s="283"/>
      <c r="N109" s="298">
        <f ca="1">工程量核对表!F108</f>
        <v>1</v>
      </c>
      <c r="O109" s="213">
        <f>O27</f>
        <v>448.73</v>
      </c>
      <c r="P109" s="213"/>
      <c r="Q109" s="312">
        <f ca="1">N109*O109</f>
        <v>448.73</v>
      </c>
      <c r="R109" s="312"/>
      <c r="S109" s="213">
        <f ca="1">Q109-G109</f>
        <v>448.73</v>
      </c>
      <c r="T109" s="298">
        <f ca="1">Q109-L109</f>
        <v>-88.78</v>
      </c>
      <c r="U109" s="313" t="s">
        <v>59</v>
      </c>
    </row>
    <row r="110" s="162" customFormat="1" ht="25" customHeight="1" spans="1:21">
      <c r="A110" s="278" t="str">
        <f>工程量核对表!A109</f>
        <v>（二）</v>
      </c>
      <c r="B110" s="279" t="str">
        <f>工程量核对表!B109</f>
        <v>过滤池（集水池工程）</v>
      </c>
      <c r="C110" s="280" t="str">
        <f>工程量核对表!C109</f>
        <v/>
      </c>
      <c r="D110" s="281"/>
      <c r="E110" s="281"/>
      <c r="F110" s="281"/>
      <c r="G110" s="281">
        <f>SUM(G111:G118)</f>
        <v>0</v>
      </c>
      <c r="H110" s="281"/>
      <c r="I110" s="281"/>
      <c r="J110" s="285"/>
      <c r="K110" s="285"/>
      <c r="L110" s="281">
        <v>3896.42</v>
      </c>
      <c r="M110" s="281"/>
      <c r="N110" s="296"/>
      <c r="O110" s="297"/>
      <c r="P110" s="297"/>
      <c r="Q110" s="310">
        <f ca="1">SUM(Q111:Q120)</f>
        <v>2874.18116229189</v>
      </c>
      <c r="R110" s="310"/>
      <c r="S110" s="310">
        <f ca="1" t="shared" ref="Q110:T110" si="33">SUM(S111:S120)</f>
        <v>2874.18116229189</v>
      </c>
      <c r="T110" s="310">
        <f ca="1" t="shared" si="33"/>
        <v>-1022.24883770811</v>
      </c>
      <c r="U110" s="311"/>
    </row>
    <row r="111" s="162" customFormat="1" ht="25" customHeight="1" spans="1:21">
      <c r="A111" s="208">
        <f>工程量核对表!A110</f>
        <v>1</v>
      </c>
      <c r="B111" s="282" t="str">
        <f>工程量核对表!B110</f>
        <v>土方开挖</v>
      </c>
      <c r="C111" s="210" t="str">
        <f>工程量核对表!C110</f>
        <v>m3</v>
      </c>
      <c r="D111" s="283"/>
      <c r="E111" s="283"/>
      <c r="F111" s="283"/>
      <c r="G111" s="283"/>
      <c r="H111" s="283"/>
      <c r="I111" s="283">
        <v>4.7</v>
      </c>
      <c r="J111" s="284">
        <v>19.7</v>
      </c>
      <c r="K111" s="284"/>
      <c r="L111" s="283">
        <v>92.67</v>
      </c>
      <c r="M111" s="283"/>
      <c r="N111" s="298">
        <f ca="1">工程量核对表!F110</f>
        <v>4.704</v>
      </c>
      <c r="O111" s="213">
        <f>O33</f>
        <v>12.15</v>
      </c>
      <c r="P111" s="213"/>
      <c r="Q111" s="312">
        <f ca="1" t="shared" ref="Q111:Q120" si="34">N111*O111</f>
        <v>57.1536</v>
      </c>
      <c r="R111" s="312"/>
      <c r="S111" s="213">
        <f ca="1" t="shared" ref="S111:S120" si="35">Q111-G111</f>
        <v>57.1536</v>
      </c>
      <c r="T111" s="298">
        <f ca="1" t="shared" ref="T111:T120" si="36">Q111-L111</f>
        <v>-35.5164</v>
      </c>
      <c r="U111" s="313" t="s">
        <v>45</v>
      </c>
    </row>
    <row r="112" s="162" customFormat="1" ht="25" customHeight="1" spans="1:21">
      <c r="A112" s="208">
        <f>工程量核对表!A111</f>
        <v>2</v>
      </c>
      <c r="B112" s="282" t="str">
        <f>工程量核对表!B111</f>
        <v>C25混凝土底板浇筑【资料C20】</v>
      </c>
      <c r="C112" s="210" t="str">
        <f>工程量核对表!C111</f>
        <v>m3</v>
      </c>
      <c r="D112" s="283"/>
      <c r="E112" s="283"/>
      <c r="F112" s="283"/>
      <c r="G112" s="283"/>
      <c r="H112" s="283"/>
      <c r="I112" s="283">
        <v>0.78</v>
      </c>
      <c r="J112" s="284">
        <v>537.51</v>
      </c>
      <c r="K112" s="284"/>
      <c r="L112" s="283">
        <v>421.41</v>
      </c>
      <c r="M112" s="283"/>
      <c r="N112" s="298">
        <f ca="1">工程量核对表!F111</f>
        <v>0.784</v>
      </c>
      <c r="O112" s="213">
        <f>O27</f>
        <v>448.73</v>
      </c>
      <c r="P112" s="213"/>
      <c r="Q112" s="312">
        <f ca="1" t="shared" si="34"/>
        <v>351.80432</v>
      </c>
      <c r="R112" s="312"/>
      <c r="S112" s="213">
        <f ca="1" t="shared" si="35"/>
        <v>351.80432</v>
      </c>
      <c r="T112" s="298">
        <f ca="1" t="shared" si="36"/>
        <v>-69.6056800000001</v>
      </c>
      <c r="U112" s="313" t="s">
        <v>59</v>
      </c>
    </row>
    <row r="113" s="162" customFormat="1" ht="25" customHeight="1" spans="1:21">
      <c r="A113" s="208">
        <f>工程量核对表!A112</f>
        <v>3</v>
      </c>
      <c r="B113" s="282" t="str">
        <f>工程量核对表!B112</f>
        <v>C25混凝土顶板浇筑</v>
      </c>
      <c r="C113" s="210" t="str">
        <f>工程量核对表!C112</f>
        <v>m3</v>
      </c>
      <c r="D113" s="283"/>
      <c r="E113" s="283"/>
      <c r="F113" s="283"/>
      <c r="G113" s="283"/>
      <c r="H113" s="283"/>
      <c r="I113" s="283">
        <v>0.55</v>
      </c>
      <c r="J113" s="284">
        <v>592.81</v>
      </c>
      <c r="K113" s="284"/>
      <c r="L113" s="283">
        <v>325.33</v>
      </c>
      <c r="M113" s="283"/>
      <c r="N113" s="298">
        <f ca="1">工程量核对表!F112</f>
        <v>0.5488</v>
      </c>
      <c r="O113" s="213">
        <f>O34</f>
        <v>452.81</v>
      </c>
      <c r="P113" s="213"/>
      <c r="Q113" s="312">
        <f ca="1" t="shared" si="34"/>
        <v>248.502128</v>
      </c>
      <c r="R113" s="312"/>
      <c r="S113" s="213">
        <f ca="1" t="shared" si="35"/>
        <v>248.502128</v>
      </c>
      <c r="T113" s="298">
        <f ca="1" t="shared" si="36"/>
        <v>-76.827872</v>
      </c>
      <c r="U113" s="313" t="s">
        <v>45</v>
      </c>
    </row>
    <row r="114" s="162" customFormat="1" ht="25" customHeight="1" spans="1:21">
      <c r="A114" s="208">
        <f>工程量核对表!A113</f>
        <v>4</v>
      </c>
      <c r="B114" s="282" t="str">
        <f>工程量核对表!B113</f>
        <v>M7.5砖砌</v>
      </c>
      <c r="C114" s="210" t="str">
        <f>工程量核对表!C113</f>
        <v>m3</v>
      </c>
      <c r="D114" s="283"/>
      <c r="E114" s="283"/>
      <c r="F114" s="283"/>
      <c r="G114" s="283"/>
      <c r="H114" s="283"/>
      <c r="I114" s="283">
        <v>2.02</v>
      </c>
      <c r="J114" s="284">
        <v>582.15</v>
      </c>
      <c r="K114" s="284"/>
      <c r="L114" s="283">
        <v>1173.61</v>
      </c>
      <c r="M114" s="283"/>
      <c r="N114" s="298">
        <f ca="1">工程量核对表!F113</f>
        <v>1.87776</v>
      </c>
      <c r="O114" s="213">
        <f t="shared" ref="O114:O120" si="37">O36</f>
        <v>418.59</v>
      </c>
      <c r="P114" s="213"/>
      <c r="Q114" s="312">
        <f ca="1" t="shared" si="34"/>
        <v>786.0115584</v>
      </c>
      <c r="R114" s="312"/>
      <c r="S114" s="213">
        <f ca="1" t="shared" si="35"/>
        <v>786.0115584</v>
      </c>
      <c r="T114" s="298">
        <f ca="1" t="shared" si="36"/>
        <v>-387.5984416</v>
      </c>
      <c r="U114" s="313" t="s">
        <v>45</v>
      </c>
    </row>
    <row r="115" s="162" customFormat="1" ht="25" customHeight="1" spans="1:21">
      <c r="A115" s="208">
        <f>工程量核对表!A114</f>
        <v>5</v>
      </c>
      <c r="B115" s="282" t="str">
        <f>工程量核对表!B114</f>
        <v>木模制安</v>
      </c>
      <c r="C115" s="210" t="str">
        <f>工程量核对表!C114</f>
        <v>m2</v>
      </c>
      <c r="D115" s="283"/>
      <c r="E115" s="283"/>
      <c r="F115" s="283"/>
      <c r="G115" s="283"/>
      <c r="H115" s="283"/>
      <c r="I115" s="283">
        <v>5.69</v>
      </c>
      <c r="J115" s="284">
        <v>58.41</v>
      </c>
      <c r="K115" s="284"/>
      <c r="L115" s="283">
        <v>332.38</v>
      </c>
      <c r="M115" s="283"/>
      <c r="N115" s="298">
        <f ca="1">工程量核对表!F114</f>
        <v>5.6904</v>
      </c>
      <c r="O115" s="213">
        <f t="shared" si="37"/>
        <v>59.86</v>
      </c>
      <c r="P115" s="213"/>
      <c r="Q115" s="312">
        <f ca="1" t="shared" si="34"/>
        <v>340.627344</v>
      </c>
      <c r="R115" s="312"/>
      <c r="S115" s="213">
        <f ca="1" t="shared" si="35"/>
        <v>340.627344</v>
      </c>
      <c r="T115" s="298">
        <f ca="1" t="shared" si="36"/>
        <v>8.247344</v>
      </c>
      <c r="U115" s="313" t="s">
        <v>45</v>
      </c>
    </row>
    <row r="116" s="162" customFormat="1" ht="25" customHeight="1" spans="1:21">
      <c r="A116" s="208">
        <f>工程量核对表!A115</f>
        <v>6</v>
      </c>
      <c r="B116" s="282" t="str">
        <f>工程量核对表!B115</f>
        <v>钢筋制安</v>
      </c>
      <c r="C116" s="210" t="s">
        <v>57</v>
      </c>
      <c r="D116" s="283"/>
      <c r="E116" s="283"/>
      <c r="F116" s="283"/>
      <c r="G116" s="283"/>
      <c r="H116" s="283"/>
      <c r="I116" s="283">
        <v>0.09</v>
      </c>
      <c r="J116" s="284">
        <v>6596.11</v>
      </c>
      <c r="K116" s="284"/>
      <c r="L116" s="283">
        <v>571.05</v>
      </c>
      <c r="M116" s="283"/>
      <c r="N116" s="298">
        <f ca="1">工程量核对表!F115/1000</f>
        <v>0.0847512</v>
      </c>
      <c r="O116" s="213">
        <f t="shared" si="37"/>
        <v>5920</v>
      </c>
      <c r="P116" s="213"/>
      <c r="Q116" s="312">
        <f ca="1" t="shared" si="34"/>
        <v>501.727104</v>
      </c>
      <c r="R116" s="312"/>
      <c r="S116" s="213">
        <f ca="1" t="shared" si="35"/>
        <v>501.727104</v>
      </c>
      <c r="T116" s="298">
        <f ca="1" t="shared" si="36"/>
        <v>-69.3228959999999</v>
      </c>
      <c r="U116" s="313" t="s">
        <v>58</v>
      </c>
    </row>
    <row r="117" s="162" customFormat="1" ht="25" customHeight="1" spans="1:21">
      <c r="A117" s="208">
        <f>工程量核对表!A116</f>
        <v>7</v>
      </c>
      <c r="B117" s="282" t="str">
        <f>工程量核对表!B116</f>
        <v>M10沙浆抹面</v>
      </c>
      <c r="C117" s="210" t="str">
        <f>工程量核对表!C116</f>
        <v>m2</v>
      </c>
      <c r="D117" s="283"/>
      <c r="E117" s="283"/>
      <c r="F117" s="283"/>
      <c r="G117" s="283"/>
      <c r="H117" s="283"/>
      <c r="I117" s="283">
        <v>11.36</v>
      </c>
      <c r="J117" s="284">
        <v>17.05</v>
      </c>
      <c r="K117" s="284"/>
      <c r="L117" s="283">
        <v>193.61</v>
      </c>
      <c r="M117" s="283"/>
      <c r="N117" s="298">
        <f ca="1">工程量核对表!F116</f>
        <v>11.3552</v>
      </c>
      <c r="O117" s="213">
        <f t="shared" si="37"/>
        <v>11.93</v>
      </c>
      <c r="P117" s="213"/>
      <c r="Q117" s="312">
        <f ca="1" t="shared" si="34"/>
        <v>135.467536</v>
      </c>
      <c r="R117" s="312"/>
      <c r="S117" s="213">
        <f ca="1" t="shared" si="35"/>
        <v>135.467536</v>
      </c>
      <c r="T117" s="298">
        <f ca="1" t="shared" si="36"/>
        <v>-58.142464</v>
      </c>
      <c r="U117" s="313" t="s">
        <v>45</v>
      </c>
    </row>
    <row r="118" s="162" customFormat="1" ht="25" customHeight="1" spans="1:21">
      <c r="A118" s="208">
        <f>工程量核对表!A117</f>
        <v>8</v>
      </c>
      <c r="B118" s="282" t="str">
        <f>工程量核对表!B117</f>
        <v>砂石滤料</v>
      </c>
      <c r="C118" s="210" t="str">
        <f>工程量核对表!C117</f>
        <v>m3</v>
      </c>
      <c r="D118" s="283"/>
      <c r="E118" s="283"/>
      <c r="F118" s="283"/>
      <c r="G118" s="283"/>
      <c r="H118" s="283"/>
      <c r="I118" s="283">
        <v>2.36</v>
      </c>
      <c r="J118" s="284">
        <v>270.26</v>
      </c>
      <c r="K118" s="284"/>
      <c r="L118" s="283">
        <v>636.52</v>
      </c>
      <c r="M118" s="283"/>
      <c r="N118" s="298">
        <f ca="1">工程量核对表!F117</f>
        <v>2.3552</v>
      </c>
      <c r="O118" s="213">
        <f t="shared" si="37"/>
        <v>139.445945945946</v>
      </c>
      <c r="P118" s="213"/>
      <c r="Q118" s="312">
        <f ca="1" t="shared" si="34"/>
        <v>328.423091891892</v>
      </c>
      <c r="R118" s="312"/>
      <c r="S118" s="213">
        <f ca="1" t="shared" si="35"/>
        <v>328.423091891892</v>
      </c>
      <c r="T118" s="298">
        <f ca="1" t="shared" si="36"/>
        <v>-308.096908108108</v>
      </c>
      <c r="U118" s="313" t="s">
        <v>45</v>
      </c>
    </row>
    <row r="119" s="162" customFormat="1" ht="25" customHeight="1" spans="1:21">
      <c r="A119" s="208" t="str">
        <f>工程量核对表!A118</f>
        <v>新增</v>
      </c>
      <c r="B119" s="282" t="str">
        <f>工程量核对表!B118</f>
        <v>石方开挖</v>
      </c>
      <c r="C119" s="210" t="str">
        <f>工程量核对表!C118</f>
        <v>m3</v>
      </c>
      <c r="D119" s="283"/>
      <c r="E119" s="283"/>
      <c r="F119" s="283"/>
      <c r="G119" s="283"/>
      <c r="H119" s="283"/>
      <c r="I119" s="283">
        <v>2.02</v>
      </c>
      <c r="J119" s="284">
        <v>57.04</v>
      </c>
      <c r="K119" s="284"/>
      <c r="L119" s="283">
        <v>114.99</v>
      </c>
      <c r="M119" s="283"/>
      <c r="N119" s="298">
        <f ca="1">工程量核对表!F118</f>
        <v>2.016</v>
      </c>
      <c r="O119" s="213">
        <f t="shared" si="37"/>
        <v>53.28</v>
      </c>
      <c r="P119" s="213"/>
      <c r="Q119" s="312">
        <f ca="1" t="shared" si="34"/>
        <v>107.41248</v>
      </c>
      <c r="R119" s="312"/>
      <c r="S119" s="213">
        <f ca="1" t="shared" si="35"/>
        <v>107.41248</v>
      </c>
      <c r="T119" s="298">
        <f ca="1" t="shared" si="36"/>
        <v>-7.57751999999999</v>
      </c>
      <c r="U119" s="313" t="s">
        <v>45</v>
      </c>
    </row>
    <row r="120" s="162" customFormat="1" ht="25" customHeight="1" spans="1:21">
      <c r="A120" s="208" t="str">
        <f>工程量核对表!A119</f>
        <v>新增</v>
      </c>
      <c r="B120" s="282" t="str">
        <f>工程量核对表!B119</f>
        <v>土石方回填</v>
      </c>
      <c r="C120" s="210" t="str">
        <f>工程量核对表!C119</f>
        <v>m3</v>
      </c>
      <c r="D120" s="283"/>
      <c r="E120" s="283"/>
      <c r="F120" s="283"/>
      <c r="G120" s="283"/>
      <c r="H120" s="283"/>
      <c r="I120" s="283">
        <v>1.4</v>
      </c>
      <c r="J120" s="284">
        <v>24.9</v>
      </c>
      <c r="K120" s="284"/>
      <c r="L120" s="283">
        <v>34.86</v>
      </c>
      <c r="M120" s="283"/>
      <c r="N120" s="298">
        <f ca="1">工程量核对表!F119</f>
        <v>1.4</v>
      </c>
      <c r="O120" s="213">
        <f t="shared" si="37"/>
        <v>12.18</v>
      </c>
      <c r="P120" s="213"/>
      <c r="Q120" s="312">
        <f ca="1" t="shared" si="34"/>
        <v>17.052</v>
      </c>
      <c r="R120" s="312"/>
      <c r="S120" s="213">
        <f ca="1" t="shared" si="35"/>
        <v>17.052</v>
      </c>
      <c r="T120" s="298">
        <f ca="1" t="shared" si="36"/>
        <v>-17.808</v>
      </c>
      <c r="U120" s="313" t="s">
        <v>45</v>
      </c>
    </row>
    <row r="121" s="162" customFormat="1" ht="25" customHeight="1" spans="1:21">
      <c r="A121" s="278" t="str">
        <f>工程量核对表!A120</f>
        <v>（三）</v>
      </c>
      <c r="B121" s="279" t="str">
        <f>工程量核对表!B120</f>
        <v>闸室工程(尺寸1.6*1.65*1m)</v>
      </c>
      <c r="C121" s="280" t="str">
        <f>工程量核对表!C120</f>
        <v/>
      </c>
      <c r="D121" s="281"/>
      <c r="E121" s="281"/>
      <c r="F121" s="281"/>
      <c r="G121" s="281"/>
      <c r="H121" s="281"/>
      <c r="I121" s="281"/>
      <c r="J121" s="285"/>
      <c r="K121" s="285"/>
      <c r="L121" s="281">
        <v>1732.16</v>
      </c>
      <c r="M121" s="281"/>
      <c r="N121" s="296"/>
      <c r="O121" s="297"/>
      <c r="P121" s="297"/>
      <c r="Q121" s="310">
        <f ca="1">SUM(Q122:Q130)</f>
        <v>1261.311393</v>
      </c>
      <c r="R121" s="310"/>
      <c r="S121" s="310">
        <f ca="1">SUM(S122:S130)</f>
        <v>1261.311393</v>
      </c>
      <c r="T121" s="310">
        <f ca="1">SUM(T122:T130)</f>
        <v>-470.858607</v>
      </c>
      <c r="U121" s="311"/>
    </row>
    <row r="122" s="162" customFormat="1" ht="25" customHeight="1" spans="1:21">
      <c r="A122" s="208">
        <f>工程量核对表!A121</f>
        <v>1</v>
      </c>
      <c r="B122" s="282" t="str">
        <f>工程量核对表!B121</f>
        <v>土方开挖</v>
      </c>
      <c r="C122" s="210" t="str">
        <f>工程量核对表!C121</f>
        <v>m3</v>
      </c>
      <c r="D122" s="314"/>
      <c r="E122" s="283"/>
      <c r="F122" s="283"/>
      <c r="G122" s="283"/>
      <c r="H122" s="283"/>
      <c r="I122" s="283">
        <v>3.72</v>
      </c>
      <c r="J122" s="284">
        <v>19.7</v>
      </c>
      <c r="K122" s="284"/>
      <c r="L122" s="283">
        <v>73.27</v>
      </c>
      <c r="M122" s="283"/>
      <c r="N122" s="298">
        <f ca="1">工程量核对表!F121</f>
        <v>3.7191</v>
      </c>
      <c r="O122" s="213">
        <f>O33</f>
        <v>12.15</v>
      </c>
      <c r="P122" s="213"/>
      <c r="Q122" s="312">
        <f ca="1" t="shared" ref="Q99:Q148" si="38">N122*O122</f>
        <v>45.187065</v>
      </c>
      <c r="R122" s="312"/>
      <c r="S122" s="213">
        <f ca="1" t="shared" ref="S122:S130" si="39">Q122-G122</f>
        <v>45.187065</v>
      </c>
      <c r="T122" s="298">
        <f ca="1" t="shared" ref="T122:T130" si="40">Q122-L122</f>
        <v>-28.082935</v>
      </c>
      <c r="U122" s="313" t="s">
        <v>45</v>
      </c>
    </row>
    <row r="123" s="162" customFormat="1" ht="25" customHeight="1" spans="1:21">
      <c r="A123" s="208">
        <f>工程量核对表!A122</f>
        <v>2</v>
      </c>
      <c r="B123" s="282" t="str">
        <f>工程量核对表!B122</f>
        <v>石方开挖</v>
      </c>
      <c r="C123" s="210" t="str">
        <f>工程量核对表!C122</f>
        <v>m3</v>
      </c>
      <c r="D123" s="283"/>
      <c r="E123" s="283"/>
      <c r="F123" s="283"/>
      <c r="G123" s="283"/>
      <c r="H123" s="283"/>
      <c r="I123" s="283">
        <v>1.59</v>
      </c>
      <c r="J123" s="284">
        <v>57.04</v>
      </c>
      <c r="K123" s="284"/>
      <c r="L123" s="283">
        <v>90.92</v>
      </c>
      <c r="M123" s="283"/>
      <c r="N123" s="298">
        <f ca="1">工程量核对表!F122</f>
        <v>1.5939</v>
      </c>
      <c r="O123" s="213">
        <f>O41</f>
        <v>53.28</v>
      </c>
      <c r="P123" s="213"/>
      <c r="Q123" s="312">
        <f ca="1" t="shared" si="38"/>
        <v>84.922992</v>
      </c>
      <c r="R123" s="312"/>
      <c r="S123" s="213">
        <f ca="1" t="shared" si="39"/>
        <v>84.922992</v>
      </c>
      <c r="T123" s="298">
        <f ca="1" t="shared" si="40"/>
        <v>-5.99700799999999</v>
      </c>
      <c r="U123" s="313" t="s">
        <v>45</v>
      </c>
    </row>
    <row r="124" s="162" customFormat="1" ht="25" customHeight="1" spans="1:21">
      <c r="A124" s="208">
        <f>工程量核对表!A123</f>
        <v>3</v>
      </c>
      <c r="B124" s="282" t="str">
        <f>工程量核对表!B123</f>
        <v>土石方回填</v>
      </c>
      <c r="C124" s="210" t="str">
        <f>工程量核对表!C123</f>
        <v>m3</v>
      </c>
      <c r="D124" s="283"/>
      <c r="E124" s="283"/>
      <c r="F124" s="283"/>
      <c r="G124" s="283"/>
      <c r="H124" s="283"/>
      <c r="I124" s="283">
        <v>0.97</v>
      </c>
      <c r="J124" s="284">
        <v>24.9</v>
      </c>
      <c r="K124" s="284"/>
      <c r="L124" s="283">
        <v>24.15</v>
      </c>
      <c r="M124" s="283"/>
      <c r="N124" s="298">
        <f ca="1">工程量核对表!F123</f>
        <v>0.98</v>
      </c>
      <c r="O124" s="213">
        <f>O54</f>
        <v>31.19</v>
      </c>
      <c r="P124" s="213"/>
      <c r="Q124" s="312">
        <f ca="1" t="shared" si="38"/>
        <v>30.5662</v>
      </c>
      <c r="R124" s="312"/>
      <c r="S124" s="213">
        <f ca="1" t="shared" si="39"/>
        <v>30.5662</v>
      </c>
      <c r="T124" s="298">
        <f ca="1" t="shared" si="40"/>
        <v>6.41620000000001</v>
      </c>
      <c r="U124" s="313" t="s">
        <v>45</v>
      </c>
    </row>
    <row r="125" s="162" customFormat="1" ht="25" customHeight="1" spans="1:21">
      <c r="A125" s="208">
        <f>工程量核对表!A124</f>
        <v>4</v>
      </c>
      <c r="B125" s="282" t="str">
        <f>工程量核对表!B124</f>
        <v>C25混凝土底板浇筑【资料C20】</v>
      </c>
      <c r="C125" s="210" t="str">
        <f>工程量核对表!C124</f>
        <v>m3</v>
      </c>
      <c r="D125" s="283"/>
      <c r="E125" s="283"/>
      <c r="F125" s="283"/>
      <c r="G125" s="283"/>
      <c r="H125" s="283"/>
      <c r="I125" s="283">
        <v>0.4</v>
      </c>
      <c r="J125" s="284">
        <v>537.51</v>
      </c>
      <c r="K125" s="284"/>
      <c r="L125" s="283">
        <v>212.85</v>
      </c>
      <c r="M125" s="283"/>
      <c r="N125" s="298">
        <f ca="1">工程量核对表!F124</f>
        <v>0.408</v>
      </c>
      <c r="O125" s="213">
        <f>O27</f>
        <v>448.73</v>
      </c>
      <c r="P125" s="213"/>
      <c r="Q125" s="312">
        <f ca="1" t="shared" si="38"/>
        <v>183.08184</v>
      </c>
      <c r="R125" s="312"/>
      <c r="S125" s="213">
        <f ca="1" t="shared" si="39"/>
        <v>183.08184</v>
      </c>
      <c r="T125" s="298">
        <f ca="1" t="shared" si="40"/>
        <v>-29.76816</v>
      </c>
      <c r="U125" s="313" t="s">
        <v>59</v>
      </c>
    </row>
    <row r="126" s="162" customFormat="1" ht="25" customHeight="1" spans="1:21">
      <c r="A126" s="208">
        <f>工程量核对表!A125</f>
        <v>5</v>
      </c>
      <c r="B126" s="282" t="str">
        <f>工程量核对表!B125</f>
        <v>M7.5砖砌围墙</v>
      </c>
      <c r="C126" s="210" t="str">
        <f>工程量核对表!C125</f>
        <v>m3</v>
      </c>
      <c r="D126" s="283"/>
      <c r="E126" s="283"/>
      <c r="F126" s="283"/>
      <c r="G126" s="283"/>
      <c r="H126" s="283"/>
      <c r="I126" s="283">
        <v>1.56</v>
      </c>
      <c r="J126" s="284">
        <v>582.15</v>
      </c>
      <c r="K126" s="284"/>
      <c r="L126" s="283">
        <v>908.15</v>
      </c>
      <c r="M126" s="283"/>
      <c r="N126" s="298">
        <f ca="1">工程量核对表!F125</f>
        <v>1.3536</v>
      </c>
      <c r="O126" s="213">
        <f>O47</f>
        <v>418.59</v>
      </c>
      <c r="P126" s="213"/>
      <c r="Q126" s="312">
        <f ca="1" t="shared" si="38"/>
        <v>566.603424</v>
      </c>
      <c r="R126" s="312"/>
      <c r="S126" s="213">
        <f ca="1" t="shared" si="39"/>
        <v>566.603424</v>
      </c>
      <c r="T126" s="298">
        <f ca="1" t="shared" si="40"/>
        <v>-341.546576</v>
      </c>
      <c r="U126" s="313" t="s">
        <v>45</v>
      </c>
    </row>
    <row r="127" s="162" customFormat="1" ht="25" customHeight="1" spans="1:21">
      <c r="A127" s="208">
        <f>工程量核对表!A126</f>
        <v>6</v>
      </c>
      <c r="B127" s="282" t="str">
        <f>工程量核对表!B126</f>
        <v>M10沙浆抹面</v>
      </c>
      <c r="C127" s="210" t="str">
        <f>工程量核对表!C126</f>
        <v>m2</v>
      </c>
      <c r="D127" s="283"/>
      <c r="E127" s="283"/>
      <c r="F127" s="283"/>
      <c r="G127" s="283"/>
      <c r="H127" s="283"/>
      <c r="I127" s="283">
        <v>6.6</v>
      </c>
      <c r="J127" s="284">
        <v>17.05</v>
      </c>
      <c r="K127" s="284"/>
      <c r="L127" s="283">
        <v>112.45</v>
      </c>
      <c r="M127" s="283"/>
      <c r="N127" s="298">
        <f ca="1">工程量核对表!F126</f>
        <v>6.7392</v>
      </c>
      <c r="O127" s="213">
        <f>O39</f>
        <v>11.93</v>
      </c>
      <c r="P127" s="213"/>
      <c r="Q127" s="312">
        <f ca="1" t="shared" si="38"/>
        <v>80.398656</v>
      </c>
      <c r="R127" s="312"/>
      <c r="S127" s="213">
        <f ca="1" t="shared" si="39"/>
        <v>80.398656</v>
      </c>
      <c r="T127" s="298">
        <f ca="1" t="shared" si="40"/>
        <v>-32.051344</v>
      </c>
      <c r="U127" s="313" t="s">
        <v>45</v>
      </c>
    </row>
    <row r="128" s="162" customFormat="1" ht="25" customHeight="1" spans="1:21">
      <c r="A128" s="208" t="str">
        <f>工程量核对表!A127</f>
        <v>新增</v>
      </c>
      <c r="B128" s="282" t="str">
        <f>工程量核对表!B127</f>
        <v>C25混凝土顶板浇筑</v>
      </c>
      <c r="C128" s="210" t="str">
        <f>工程量核对表!C127</f>
        <v>m3</v>
      </c>
      <c r="D128" s="283"/>
      <c r="E128" s="283"/>
      <c r="F128" s="283"/>
      <c r="G128" s="283"/>
      <c r="H128" s="283"/>
      <c r="I128" s="283">
        <v>0.18</v>
      </c>
      <c r="J128" s="284">
        <v>592.81</v>
      </c>
      <c r="K128" s="284"/>
      <c r="L128" s="283">
        <v>109.55</v>
      </c>
      <c r="M128" s="283"/>
      <c r="N128" s="298">
        <f ca="1">工程量核对表!F127</f>
        <v>0.1632</v>
      </c>
      <c r="O128" s="213">
        <f>O34</f>
        <v>452.81</v>
      </c>
      <c r="P128" s="213"/>
      <c r="Q128" s="312">
        <f ca="1" t="shared" si="38"/>
        <v>73.898592</v>
      </c>
      <c r="R128" s="312"/>
      <c r="S128" s="213">
        <f ca="1" t="shared" si="39"/>
        <v>73.898592</v>
      </c>
      <c r="T128" s="298">
        <f ca="1" t="shared" si="40"/>
        <v>-35.651408</v>
      </c>
      <c r="U128" s="313" t="s">
        <v>45</v>
      </c>
    </row>
    <row r="129" s="162" customFormat="1" ht="25" customHeight="1" spans="1:21">
      <c r="A129" s="208" t="str">
        <f>工程量核对表!A128</f>
        <v>新增</v>
      </c>
      <c r="B129" s="282" t="str">
        <f>工程量核对表!B128</f>
        <v>木模制安</v>
      </c>
      <c r="C129" s="210" t="str">
        <f>工程量核对表!C128</f>
        <v>m2</v>
      </c>
      <c r="D129" s="283"/>
      <c r="E129" s="283"/>
      <c r="F129" s="283"/>
      <c r="G129" s="283"/>
      <c r="H129" s="283"/>
      <c r="I129" s="283">
        <v>1.77</v>
      </c>
      <c r="J129" s="284">
        <v>58.41</v>
      </c>
      <c r="K129" s="284"/>
      <c r="L129" s="283">
        <v>103.12</v>
      </c>
      <c r="M129" s="283"/>
      <c r="N129" s="298">
        <f ca="1">工程量核对表!F128</f>
        <v>0.396</v>
      </c>
      <c r="O129" s="213">
        <f>O37</f>
        <v>59.86</v>
      </c>
      <c r="P129" s="213"/>
      <c r="Q129" s="312">
        <f ca="1" t="shared" si="38"/>
        <v>23.70456</v>
      </c>
      <c r="R129" s="312"/>
      <c r="S129" s="213">
        <f ca="1" t="shared" si="39"/>
        <v>23.70456</v>
      </c>
      <c r="T129" s="298">
        <f ca="1" t="shared" si="40"/>
        <v>-79.41544</v>
      </c>
      <c r="U129" s="313" t="s">
        <v>45</v>
      </c>
    </row>
    <row r="130" s="162" customFormat="1" ht="25" customHeight="1" spans="1:21">
      <c r="A130" s="208" t="str">
        <f>工程量核对表!A129</f>
        <v>新增</v>
      </c>
      <c r="B130" s="282" t="str">
        <f>工程量核对表!B129</f>
        <v>钢筋制安</v>
      </c>
      <c r="C130" s="210" t="s">
        <v>57</v>
      </c>
      <c r="D130" s="283"/>
      <c r="E130" s="283"/>
      <c r="F130" s="283"/>
      <c r="G130" s="283"/>
      <c r="H130" s="283"/>
      <c r="I130" s="283">
        <v>0.01</v>
      </c>
      <c r="J130" s="284">
        <v>6596.11</v>
      </c>
      <c r="K130" s="284"/>
      <c r="L130" s="283">
        <v>97.71</v>
      </c>
      <c r="M130" s="283"/>
      <c r="N130" s="298">
        <f ca="1">工程量核对表!F129/1000</f>
        <v>0.0292142</v>
      </c>
      <c r="O130" s="213">
        <f>O38</f>
        <v>5920</v>
      </c>
      <c r="P130" s="213"/>
      <c r="Q130" s="312">
        <f ca="1" t="shared" si="38"/>
        <v>172.948064</v>
      </c>
      <c r="R130" s="312"/>
      <c r="S130" s="213">
        <f ca="1" t="shared" si="39"/>
        <v>172.948064</v>
      </c>
      <c r="T130" s="298">
        <f ca="1" t="shared" si="40"/>
        <v>75.238064</v>
      </c>
      <c r="U130" s="313" t="s">
        <v>58</v>
      </c>
    </row>
    <row r="131" s="162" customFormat="1" ht="25" customHeight="1" spans="1:21">
      <c r="A131" s="278" t="str">
        <f>工程量核对表!A130</f>
        <v>（四）</v>
      </c>
      <c r="B131" s="279" t="str">
        <f>工程量核对表!B130</f>
        <v>建筑材料人力二次运输</v>
      </c>
      <c r="C131" s="280"/>
      <c r="D131" s="281"/>
      <c r="E131" s="281"/>
      <c r="F131" s="281"/>
      <c r="G131" s="281"/>
      <c r="H131" s="281"/>
      <c r="I131" s="281"/>
      <c r="J131" s="285"/>
      <c r="K131" s="285"/>
      <c r="L131" s="281">
        <v>9604.78</v>
      </c>
      <c r="M131" s="281"/>
      <c r="N131" s="296"/>
      <c r="O131" s="297"/>
      <c r="P131" s="297"/>
      <c r="Q131" s="310">
        <f ca="1">SUM(Q132:Q137)</f>
        <v>946.272851564243</v>
      </c>
      <c r="R131" s="310"/>
      <c r="S131" s="310">
        <f ca="1">SUM(S132:S137)</f>
        <v>946.272851564243</v>
      </c>
      <c r="T131" s="310">
        <f ca="1">SUM(T132:T137)</f>
        <v>-8658.50714843576</v>
      </c>
      <c r="U131" s="311"/>
    </row>
    <row r="132" s="162" customFormat="1" ht="25" customHeight="1" spans="1:21">
      <c r="A132" s="208">
        <f>工程量核对表!A131</f>
        <v>1</v>
      </c>
      <c r="B132" s="282" t="str">
        <f>工程量核对表!B131</f>
        <v>人力二次转运材料200米</v>
      </c>
      <c r="C132" s="210" t="str">
        <f>工程量核对表!C131</f>
        <v>t/km</v>
      </c>
      <c r="D132" s="283"/>
      <c r="E132" s="283"/>
      <c r="F132" s="283"/>
      <c r="G132" s="283"/>
      <c r="H132" s="283"/>
      <c r="I132" s="283"/>
      <c r="J132" s="284"/>
      <c r="K132" s="284"/>
      <c r="L132" s="283"/>
      <c r="M132" s="283"/>
      <c r="N132" s="298"/>
      <c r="O132" s="213"/>
      <c r="P132" s="213"/>
      <c r="Q132" s="312">
        <f t="shared" si="38"/>
        <v>0</v>
      </c>
      <c r="R132" s="312"/>
      <c r="S132" s="213">
        <f t="shared" ref="S132:S137" si="41">Q132-G132</f>
        <v>0</v>
      </c>
      <c r="T132" s="298">
        <f t="shared" ref="T132:T137" si="42">Q132-L132</f>
        <v>0</v>
      </c>
      <c r="U132" s="313" t="s">
        <v>66</v>
      </c>
    </row>
    <row r="133" s="162" customFormat="1" ht="25" customHeight="1" spans="1:21">
      <c r="A133" s="208">
        <f>工程量核对表!A132</f>
        <v>2</v>
      </c>
      <c r="B133" s="282" t="str">
        <f>工程量核对表!B132</f>
        <v>水泥</v>
      </c>
      <c r="C133" s="210" t="str">
        <f>工程量核对表!C132</f>
        <v>t</v>
      </c>
      <c r="D133" s="283"/>
      <c r="E133" s="283"/>
      <c r="F133" s="283"/>
      <c r="G133" s="283"/>
      <c r="H133" s="283"/>
      <c r="I133" s="283">
        <v>11.65</v>
      </c>
      <c r="J133" s="284">
        <v>100</v>
      </c>
      <c r="K133" s="284"/>
      <c r="L133" s="283">
        <v>1164.77</v>
      </c>
      <c r="M133" s="283"/>
      <c r="N133" s="298">
        <f ca="1">工程量核对表!F132</f>
        <v>10.6511184306032</v>
      </c>
      <c r="O133" s="213">
        <f>O134*0.915</f>
        <v>14.9328</v>
      </c>
      <c r="P133" s="213"/>
      <c r="Q133" s="312">
        <f ca="1" t="shared" si="38"/>
        <v>159.051021300511</v>
      </c>
      <c r="R133" s="312"/>
      <c r="S133" s="213">
        <f ca="1" t="shared" si="41"/>
        <v>159.051021300511</v>
      </c>
      <c r="T133" s="298">
        <f ca="1" t="shared" si="42"/>
        <v>-1005.71897869949</v>
      </c>
      <c r="U133" s="313"/>
    </row>
    <row r="134" s="162" customFormat="1" ht="25" customHeight="1" spans="1:21">
      <c r="A134" s="208">
        <f>工程量核对表!A133</f>
        <v>3</v>
      </c>
      <c r="B134" s="282" t="str">
        <f>工程量核对表!B133</f>
        <v>砂</v>
      </c>
      <c r="C134" s="210" t="str">
        <f>工程量核对表!C133</f>
        <v>m3</v>
      </c>
      <c r="D134" s="283"/>
      <c r="E134" s="283"/>
      <c r="F134" s="283"/>
      <c r="G134" s="283"/>
      <c r="H134" s="283"/>
      <c r="I134" s="283">
        <v>17.98</v>
      </c>
      <c r="J134" s="284">
        <v>160</v>
      </c>
      <c r="K134" s="284"/>
      <c r="L134" s="283">
        <v>2876.86</v>
      </c>
      <c r="M134" s="283"/>
      <c r="N134" s="298">
        <f ca="1">工程量核对表!F133</f>
        <v>15.7673357328</v>
      </c>
      <c r="O134" s="213">
        <v>16.32</v>
      </c>
      <c r="P134" s="213"/>
      <c r="Q134" s="312">
        <f ca="1" t="shared" si="38"/>
        <v>257.322919159296</v>
      </c>
      <c r="R134" s="312"/>
      <c r="S134" s="213">
        <f ca="1" t="shared" si="41"/>
        <v>257.322919159296</v>
      </c>
      <c r="T134" s="298">
        <f ca="1" t="shared" si="42"/>
        <v>-2619.5370808407</v>
      </c>
      <c r="U134" s="313"/>
    </row>
    <row r="135" s="162" customFormat="1" ht="25" customHeight="1" spans="1:21">
      <c r="A135" s="208">
        <f>工程量核对表!A134</f>
        <v>4</v>
      </c>
      <c r="B135" s="282" t="str">
        <f>工程量核对表!B134</f>
        <v>碎石</v>
      </c>
      <c r="C135" s="210" t="str">
        <f>工程量核对表!C134</f>
        <v>m3</v>
      </c>
      <c r="D135" s="283"/>
      <c r="E135" s="283"/>
      <c r="F135" s="283"/>
      <c r="G135" s="283"/>
      <c r="H135" s="283"/>
      <c r="I135" s="283">
        <v>26.49</v>
      </c>
      <c r="J135" s="284">
        <v>170</v>
      </c>
      <c r="K135" s="284"/>
      <c r="L135" s="283">
        <v>4502.5</v>
      </c>
      <c r="M135" s="283"/>
      <c r="N135" s="298">
        <f ca="1">工程量核对表!F134</f>
        <v>26.2112351792</v>
      </c>
      <c r="O135" s="213">
        <v>17.44</v>
      </c>
      <c r="P135" s="213"/>
      <c r="Q135" s="312">
        <f ca="1" t="shared" si="38"/>
        <v>457.123941525248</v>
      </c>
      <c r="R135" s="312"/>
      <c r="S135" s="213">
        <f ca="1" t="shared" si="41"/>
        <v>457.123941525248</v>
      </c>
      <c r="T135" s="298">
        <f ca="1" t="shared" si="42"/>
        <v>-4045.37605847475</v>
      </c>
      <c r="U135" s="313"/>
    </row>
    <row r="136" s="162" customFormat="1" ht="25" customHeight="1" spans="1:21">
      <c r="A136" s="208">
        <f>工程量核对表!A135</f>
        <v>5</v>
      </c>
      <c r="B136" s="282" t="str">
        <f>工程量核对表!B135</f>
        <v>页岩砖</v>
      </c>
      <c r="C136" s="210" t="str">
        <f>工程量核对表!C135</f>
        <v>千匹</v>
      </c>
      <c r="D136" s="283"/>
      <c r="E136" s="283"/>
      <c r="F136" s="283"/>
      <c r="G136" s="283"/>
      <c r="H136" s="283"/>
      <c r="I136" s="283">
        <v>3.58</v>
      </c>
      <c r="J136" s="284">
        <v>250</v>
      </c>
      <c r="K136" s="284"/>
      <c r="L136" s="283">
        <v>894</v>
      </c>
      <c r="M136" s="283"/>
      <c r="N136" s="298">
        <f ca="1">工程量核对表!F135</f>
        <v>1.72554624</v>
      </c>
      <c r="O136" s="213">
        <f>O134*1.854</f>
        <v>30.25728</v>
      </c>
      <c r="P136" s="213"/>
      <c r="Q136" s="312">
        <f ca="1" t="shared" si="38"/>
        <v>52.2103357366272</v>
      </c>
      <c r="R136" s="312"/>
      <c r="S136" s="213">
        <f ca="1" t="shared" si="41"/>
        <v>52.2103357366272</v>
      </c>
      <c r="T136" s="298">
        <f ca="1" t="shared" si="42"/>
        <v>-841.789664263373</v>
      </c>
      <c r="U136" s="313"/>
    </row>
    <row r="137" s="162" customFormat="1" ht="25" customHeight="1" spans="1:21">
      <c r="A137" s="208">
        <f>工程量核对表!A136</f>
        <v>6</v>
      </c>
      <c r="B137" s="282" t="str">
        <f>工程量核对表!B136</f>
        <v>钢筋</v>
      </c>
      <c r="C137" s="210" t="str">
        <f>工程量核对表!C136</f>
        <v>t</v>
      </c>
      <c r="D137" s="283"/>
      <c r="E137" s="283"/>
      <c r="F137" s="283"/>
      <c r="G137" s="283"/>
      <c r="H137" s="283"/>
      <c r="I137" s="283">
        <v>1.67</v>
      </c>
      <c r="J137" s="284">
        <v>100</v>
      </c>
      <c r="K137" s="284"/>
      <c r="L137" s="283">
        <v>166.65</v>
      </c>
      <c r="M137" s="283"/>
      <c r="N137" s="298">
        <f ca="1">工程量核对表!F136</f>
        <v>1.3771452</v>
      </c>
      <c r="O137" s="213">
        <f>O133</f>
        <v>14.9328</v>
      </c>
      <c r="P137" s="213"/>
      <c r="Q137" s="312">
        <f ca="1" t="shared" si="38"/>
        <v>20.56463384256</v>
      </c>
      <c r="R137" s="312"/>
      <c r="S137" s="213">
        <f ca="1" t="shared" si="41"/>
        <v>20.56463384256</v>
      </c>
      <c r="T137" s="298">
        <f ca="1" t="shared" si="42"/>
        <v>-146.08536615744</v>
      </c>
      <c r="U137" s="313"/>
    </row>
    <row r="138" s="162" customFormat="1" ht="25" customHeight="1" spans="1:21">
      <c r="A138" s="274" t="str">
        <f>工程量核对表!A137</f>
        <v>三</v>
      </c>
      <c r="B138" s="275" t="str">
        <f>工程量核对表!B137</f>
        <v>刘家湾供水工程</v>
      </c>
      <c r="C138" s="276">
        <f>工程量核对表!C137</f>
        <v>0</v>
      </c>
      <c r="D138" s="277"/>
      <c r="E138" s="277"/>
      <c r="F138" s="277"/>
      <c r="G138" s="277">
        <f>G139+G163+G174+G182+G192</f>
        <v>76234.65</v>
      </c>
      <c r="H138" s="277"/>
      <c r="I138" s="277"/>
      <c r="J138" s="293"/>
      <c r="K138" s="293"/>
      <c r="L138" s="277">
        <v>67212.81</v>
      </c>
      <c r="M138" s="277"/>
      <c r="N138" s="294"/>
      <c r="O138" s="295"/>
      <c r="P138" s="295"/>
      <c r="Q138" s="308">
        <f ca="1">Q163+Q139+Q182+Q174+Q192</f>
        <v>58446.1585163024</v>
      </c>
      <c r="R138" s="308"/>
      <c r="S138" s="308">
        <f ca="1" t="shared" ref="Q138:T138" si="43">S163+S139+S182+S174+S192</f>
        <v>-17788.4914836976</v>
      </c>
      <c r="T138" s="308">
        <f ca="1" t="shared" si="43"/>
        <v>-8766.65148369763</v>
      </c>
      <c r="U138" s="309" t="s">
        <v>67</v>
      </c>
    </row>
    <row r="139" s="162" customFormat="1" ht="25" customHeight="1" spans="1:21">
      <c r="A139" s="278" t="str">
        <f>工程量核对表!A138</f>
        <v>（一）</v>
      </c>
      <c r="B139" s="279" t="str">
        <f>工程量核对表!B138</f>
        <v>蓄水池工程</v>
      </c>
      <c r="C139" s="280"/>
      <c r="D139" s="281"/>
      <c r="E139" s="281"/>
      <c r="F139" s="281"/>
      <c r="G139" s="281">
        <f>SUM(G140:G162)</f>
        <v>32121.28</v>
      </c>
      <c r="H139" s="281"/>
      <c r="I139" s="281"/>
      <c r="J139" s="285"/>
      <c r="K139" s="285"/>
      <c r="L139" s="281">
        <v>58233.55</v>
      </c>
      <c r="M139" s="281"/>
      <c r="N139" s="296"/>
      <c r="O139" s="297"/>
      <c r="P139" s="297"/>
      <c r="Q139" s="310">
        <f ca="1">SUM(Q140:Q162)</f>
        <v>53903.650823155</v>
      </c>
      <c r="R139" s="310"/>
      <c r="S139" s="310">
        <f ca="1">SUM(S140:S162)</f>
        <v>21782.370823155</v>
      </c>
      <c r="T139" s="310">
        <f ca="1">SUM(T140:T162)</f>
        <v>-4329.89917684504</v>
      </c>
      <c r="U139" s="311"/>
    </row>
    <row r="140" s="162" customFormat="1" ht="25" customHeight="1" spans="1:21">
      <c r="A140" s="208">
        <f>工程量核对表!A139</f>
        <v>1</v>
      </c>
      <c r="B140" s="282" t="str">
        <f>工程量核对表!B139</f>
        <v>土方开挖</v>
      </c>
      <c r="C140" s="210" t="str">
        <f>工程量核对表!C139</f>
        <v>m3</v>
      </c>
      <c r="D140" s="283">
        <v>35.29</v>
      </c>
      <c r="E140" s="283">
        <v>11.6</v>
      </c>
      <c r="F140" s="283"/>
      <c r="G140" s="283">
        <v>409.38</v>
      </c>
      <c r="H140" s="283"/>
      <c r="I140" s="283">
        <v>16.8</v>
      </c>
      <c r="J140" s="284">
        <v>19.7</v>
      </c>
      <c r="K140" s="284"/>
      <c r="L140" s="283">
        <v>330.96</v>
      </c>
      <c r="M140" s="283"/>
      <c r="N140" s="298">
        <f ca="1">工程量核对表!F139</f>
        <v>16.8</v>
      </c>
      <c r="O140" s="213">
        <f>O33</f>
        <v>12.15</v>
      </c>
      <c r="P140" s="213"/>
      <c r="Q140" s="312">
        <f ca="1" t="shared" ref="Q140:Q151" si="44">N140*O140</f>
        <v>204.12</v>
      </c>
      <c r="R140" s="312"/>
      <c r="S140" s="213">
        <f ca="1" t="shared" ref="S140:S162" si="45">Q140-G140</f>
        <v>-205.26</v>
      </c>
      <c r="T140" s="298">
        <f ca="1" t="shared" ref="T140:T162" si="46">Q140-L140</f>
        <v>-126.84</v>
      </c>
      <c r="U140" s="313" t="s">
        <v>45</v>
      </c>
    </row>
    <row r="141" s="162" customFormat="1" ht="25" customHeight="1" spans="1:21">
      <c r="A141" s="208">
        <f>工程量核对表!A140</f>
        <v>2</v>
      </c>
      <c r="B141" s="282" t="str">
        <f>工程量核对表!B140</f>
        <v>石方开挖</v>
      </c>
      <c r="C141" s="210" t="str">
        <f>工程量核对表!C140</f>
        <v>m3</v>
      </c>
      <c r="D141" s="283">
        <v>2.64</v>
      </c>
      <c r="E141" s="283">
        <v>51.97</v>
      </c>
      <c r="F141" s="283"/>
      <c r="G141" s="283">
        <v>137.08</v>
      </c>
      <c r="H141" s="283"/>
      <c r="I141" s="283">
        <v>47.6</v>
      </c>
      <c r="J141" s="284">
        <v>57.04</v>
      </c>
      <c r="K141" s="284"/>
      <c r="L141" s="283">
        <v>2715.1</v>
      </c>
      <c r="M141" s="283"/>
      <c r="N141" s="298">
        <f ca="1">工程量核对表!F140</f>
        <v>47.6</v>
      </c>
      <c r="O141" s="213">
        <f>O41</f>
        <v>53.28</v>
      </c>
      <c r="P141" s="213"/>
      <c r="Q141" s="312">
        <f ca="1" t="shared" si="44"/>
        <v>2536.128</v>
      </c>
      <c r="R141" s="312"/>
      <c r="S141" s="213">
        <f ca="1" t="shared" si="45"/>
        <v>2399.048</v>
      </c>
      <c r="T141" s="298">
        <f ca="1" t="shared" si="46"/>
        <v>-178.972</v>
      </c>
      <c r="U141" s="313" t="s">
        <v>45</v>
      </c>
    </row>
    <row r="142" s="162" customFormat="1" ht="25" customHeight="1" spans="1:21">
      <c r="A142" s="208">
        <f>工程量核对表!A141</f>
        <v>3</v>
      </c>
      <c r="B142" s="282" t="str">
        <f>工程量核对表!B141</f>
        <v>土石方回填</v>
      </c>
      <c r="C142" s="210" t="str">
        <f>工程量核对表!C141</f>
        <v>m3</v>
      </c>
      <c r="D142" s="283">
        <v>34.99</v>
      </c>
      <c r="E142" s="283">
        <v>13.28</v>
      </c>
      <c r="F142" s="283"/>
      <c r="G142" s="283">
        <v>464.7</v>
      </c>
      <c r="H142" s="283"/>
      <c r="I142" s="283">
        <v>6.46</v>
      </c>
      <c r="J142" s="284">
        <v>24.9</v>
      </c>
      <c r="K142" s="284"/>
      <c r="L142" s="283">
        <v>160.75</v>
      </c>
      <c r="M142" s="283"/>
      <c r="N142" s="298">
        <f ca="1">工程量核对表!F141</f>
        <v>6.408</v>
      </c>
      <c r="O142" s="213">
        <f>O42</f>
        <v>12.18</v>
      </c>
      <c r="P142" s="213"/>
      <c r="Q142" s="312">
        <f ca="1" t="shared" si="44"/>
        <v>78.04944</v>
      </c>
      <c r="R142" s="312"/>
      <c r="S142" s="213">
        <f ca="1" t="shared" si="45"/>
        <v>-386.65056</v>
      </c>
      <c r="T142" s="298">
        <f ca="1" t="shared" si="46"/>
        <v>-82.70056</v>
      </c>
      <c r="U142" s="313" t="s">
        <v>45</v>
      </c>
    </row>
    <row r="143" s="162" customFormat="1" ht="25" customHeight="1" spans="1:21">
      <c r="A143" s="215">
        <f>工程量核对表!A142</f>
        <v>4</v>
      </c>
      <c r="B143" s="282" t="str">
        <f>工程量核对表!B142</f>
        <v>C25砼 2级配 32.5水泥 粒径40mm（底板）</v>
      </c>
      <c r="C143" s="210" t="str">
        <f>工程量核对表!C142</f>
        <v>m3</v>
      </c>
      <c r="D143" s="283">
        <v>4.56</v>
      </c>
      <c r="E143" s="283">
        <v>462.3</v>
      </c>
      <c r="F143" s="283"/>
      <c r="G143" s="283">
        <v>2108.09</v>
      </c>
      <c r="H143" s="283"/>
      <c r="I143" s="283">
        <v>5.73</v>
      </c>
      <c r="J143" s="284">
        <v>537.51</v>
      </c>
      <c r="K143" s="284"/>
      <c r="L143" s="283">
        <v>3079.13</v>
      </c>
      <c r="M143" s="283"/>
      <c r="N143" s="298">
        <f ca="1">工程量核对表!F142</f>
        <v>3.762</v>
      </c>
      <c r="O143" s="213">
        <f>O34</f>
        <v>452.81</v>
      </c>
      <c r="P143" s="213"/>
      <c r="Q143" s="312">
        <f ca="1" t="shared" si="44"/>
        <v>1703.47122</v>
      </c>
      <c r="R143" s="312"/>
      <c r="S143" s="213">
        <f ca="1" t="shared" si="45"/>
        <v>-404.61878</v>
      </c>
      <c r="T143" s="298">
        <f ca="1" t="shared" si="46"/>
        <v>-1375.65878</v>
      </c>
      <c r="U143" s="313" t="s">
        <v>45</v>
      </c>
    </row>
    <row r="144" s="162" customFormat="1" ht="25" customHeight="1" spans="1:21">
      <c r="A144" s="216"/>
      <c r="B144" s="282" t="str">
        <f>工程量核对表!B143</f>
        <v>C25砼 2级配 32.5水泥 粒径40mm（顶板）</v>
      </c>
      <c r="C144" s="210" t="str">
        <f>工程量核对表!C143</f>
        <v>m3</v>
      </c>
      <c r="D144" s="283"/>
      <c r="E144" s="283"/>
      <c r="F144" s="283"/>
      <c r="G144" s="283"/>
      <c r="H144" s="283"/>
      <c r="I144" s="283">
        <v>4.29</v>
      </c>
      <c r="J144" s="284">
        <v>592.81</v>
      </c>
      <c r="K144" s="284"/>
      <c r="L144" s="283">
        <v>2543.15</v>
      </c>
      <c r="M144" s="283"/>
      <c r="N144" s="298">
        <f ca="1">工程量核对表!F143</f>
        <v>3.52</v>
      </c>
      <c r="O144" s="213">
        <f>O34</f>
        <v>452.81</v>
      </c>
      <c r="P144" s="213"/>
      <c r="Q144" s="312">
        <f ca="1" t="shared" si="44"/>
        <v>1593.8912</v>
      </c>
      <c r="R144" s="312"/>
      <c r="S144" s="213">
        <f ca="1" t="shared" si="45"/>
        <v>1593.8912</v>
      </c>
      <c r="T144" s="298">
        <f ca="1" t="shared" si="46"/>
        <v>-949.2588</v>
      </c>
      <c r="U144" s="313" t="s">
        <v>45</v>
      </c>
    </row>
    <row r="145" s="162" customFormat="1" ht="25" customHeight="1" spans="1:21">
      <c r="A145" s="216"/>
      <c r="B145" s="282" t="str">
        <f>工程量核对表!B144</f>
        <v>C25砼 2级配 32.5水泥 粒径40mm（梁）</v>
      </c>
      <c r="C145" s="210" t="str">
        <f>工程量核对表!C144</f>
        <v>m3</v>
      </c>
      <c r="D145" s="283"/>
      <c r="E145" s="283"/>
      <c r="F145" s="283"/>
      <c r="G145" s="283"/>
      <c r="H145" s="283"/>
      <c r="I145" s="283">
        <v>1.08</v>
      </c>
      <c r="J145" s="284">
        <v>592.81</v>
      </c>
      <c r="K145" s="284"/>
      <c r="L145" s="283">
        <v>640.23</v>
      </c>
      <c r="M145" s="283"/>
      <c r="N145" s="298">
        <f ca="1">工程量核对表!F144</f>
        <v>0.9576</v>
      </c>
      <c r="O145" s="213">
        <f>O34</f>
        <v>452.81</v>
      </c>
      <c r="P145" s="213"/>
      <c r="Q145" s="312">
        <f ca="1" t="shared" si="44"/>
        <v>433.610856</v>
      </c>
      <c r="R145" s="312"/>
      <c r="S145" s="213">
        <f ca="1" t="shared" si="45"/>
        <v>433.610856</v>
      </c>
      <c r="T145" s="298">
        <f ca="1" t="shared" si="46"/>
        <v>-206.619144</v>
      </c>
      <c r="U145" s="313" t="s">
        <v>45</v>
      </c>
    </row>
    <row r="146" s="162" customFormat="1" ht="25" customHeight="1" spans="1:21">
      <c r="A146" s="217"/>
      <c r="B146" s="282" t="str">
        <f>工程量核对表!B145</f>
        <v>C25砼 2级配 32.5水泥 粒径40mm（侧墙）</v>
      </c>
      <c r="C146" s="210" t="str">
        <f>工程量核对表!C145</f>
        <v>m3</v>
      </c>
      <c r="D146" s="283"/>
      <c r="E146" s="283"/>
      <c r="F146" s="283"/>
      <c r="G146" s="283"/>
      <c r="H146" s="283"/>
      <c r="I146" s="283">
        <v>19.3</v>
      </c>
      <c r="J146" s="284">
        <v>558.92</v>
      </c>
      <c r="K146" s="284"/>
      <c r="L146" s="283">
        <v>10784.92</v>
      </c>
      <c r="M146" s="283"/>
      <c r="N146" s="298">
        <f ca="1">工程量核对表!F145</f>
        <v>8.49648</v>
      </c>
      <c r="O146" s="213">
        <f>O34</f>
        <v>452.81</v>
      </c>
      <c r="P146" s="213"/>
      <c r="Q146" s="312">
        <f ca="1" t="shared" si="44"/>
        <v>3847.2911088</v>
      </c>
      <c r="R146" s="312"/>
      <c r="S146" s="213">
        <f ca="1" t="shared" si="45"/>
        <v>3847.2911088</v>
      </c>
      <c r="T146" s="298">
        <f ca="1" t="shared" si="46"/>
        <v>-6937.6288912</v>
      </c>
      <c r="U146" s="313" t="s">
        <v>45</v>
      </c>
    </row>
    <row r="147" s="162" customFormat="1" ht="25" customHeight="1" spans="1:21">
      <c r="A147" s="208">
        <f>工程量核对表!A146</f>
        <v>5</v>
      </c>
      <c r="B147" s="282" t="str">
        <f>工程量核对表!B146</f>
        <v>M7.5砌砖</v>
      </c>
      <c r="C147" s="210" t="str">
        <f>工程量核对表!C146</f>
        <v>m3</v>
      </c>
      <c r="D147" s="283">
        <v>14.64</v>
      </c>
      <c r="E147" s="283">
        <v>442.25</v>
      </c>
      <c r="F147" s="283"/>
      <c r="G147" s="283">
        <v>6474.54</v>
      </c>
      <c r="H147" s="283"/>
      <c r="I147" s="283"/>
      <c r="J147" s="284">
        <v>582.15</v>
      </c>
      <c r="K147" s="284"/>
      <c r="L147" s="283">
        <v>0</v>
      </c>
      <c r="M147" s="283"/>
      <c r="N147" s="298">
        <f ca="1">工程量核对表!F146</f>
        <v>0</v>
      </c>
      <c r="O147" s="213">
        <f>O16</f>
        <v>418.59</v>
      </c>
      <c r="P147" s="213"/>
      <c r="Q147" s="312">
        <f ca="1" t="shared" si="44"/>
        <v>0</v>
      </c>
      <c r="R147" s="312"/>
      <c r="S147" s="213">
        <f ca="1" t="shared" si="45"/>
        <v>-6474.54</v>
      </c>
      <c r="T147" s="298">
        <f ca="1" t="shared" si="46"/>
        <v>0</v>
      </c>
      <c r="U147" s="313" t="s">
        <v>45</v>
      </c>
    </row>
    <row r="148" s="162" customFormat="1" ht="25" customHeight="1" spans="1:21">
      <c r="A148" s="208">
        <f>工程量核对表!A147</f>
        <v>6</v>
      </c>
      <c r="B148" s="282" t="str">
        <f>工程量核对表!B147</f>
        <v>木模制安</v>
      </c>
      <c r="C148" s="210" t="str">
        <f>工程量核对表!C147</f>
        <v>m2</v>
      </c>
      <c r="D148" s="283">
        <v>30.93</v>
      </c>
      <c r="E148" s="283">
        <v>58.41</v>
      </c>
      <c r="F148" s="283"/>
      <c r="G148" s="283">
        <v>1806.62</v>
      </c>
      <c r="H148" s="283"/>
      <c r="I148" s="283">
        <v>206.06</v>
      </c>
      <c r="J148" s="284">
        <v>58.41</v>
      </c>
      <c r="K148" s="284"/>
      <c r="L148" s="283">
        <v>12035.99</v>
      </c>
      <c r="M148" s="283"/>
      <c r="N148" s="298">
        <f ca="1">工程量核对表!F147</f>
        <v>175.08</v>
      </c>
      <c r="O148" s="213">
        <f>O37</f>
        <v>59.86</v>
      </c>
      <c r="P148" s="213"/>
      <c r="Q148" s="312">
        <f ca="1" t="shared" si="44"/>
        <v>10480.2888</v>
      </c>
      <c r="R148" s="312"/>
      <c r="S148" s="213">
        <f ca="1" t="shared" si="45"/>
        <v>8673.6688</v>
      </c>
      <c r="T148" s="298">
        <f ca="1" t="shared" si="46"/>
        <v>-1555.7012</v>
      </c>
      <c r="U148" s="313" t="s">
        <v>45</v>
      </c>
    </row>
    <row r="149" s="162" customFormat="1" ht="25" customHeight="1" spans="1:21">
      <c r="A149" s="208">
        <f>工程量核对表!A148</f>
        <v>7</v>
      </c>
      <c r="B149" s="282" t="str">
        <f>工程量核对表!B148</f>
        <v>钢筋制安</v>
      </c>
      <c r="C149" s="210" t="s">
        <v>57</v>
      </c>
      <c r="D149" s="283">
        <v>142.2</v>
      </c>
      <c r="E149" s="283">
        <v>5.66</v>
      </c>
      <c r="F149" s="283"/>
      <c r="G149" s="283">
        <v>804.85</v>
      </c>
      <c r="H149" s="283"/>
      <c r="I149" s="283">
        <v>1.45</v>
      </c>
      <c r="J149" s="284">
        <v>6596.11</v>
      </c>
      <c r="K149" s="284"/>
      <c r="L149" s="283">
        <v>9537.27</v>
      </c>
      <c r="M149" s="283"/>
      <c r="N149" s="298">
        <f ca="1">工程量核对表!F148/1000</f>
        <v>1.31559382</v>
      </c>
      <c r="O149" s="213">
        <f>O38</f>
        <v>5920</v>
      </c>
      <c r="P149" s="213"/>
      <c r="Q149" s="312">
        <f ca="1" t="shared" si="44"/>
        <v>7788.3154144</v>
      </c>
      <c r="R149" s="312"/>
      <c r="S149" s="213">
        <f ca="1" t="shared" si="45"/>
        <v>6983.4654144</v>
      </c>
      <c r="T149" s="298">
        <f ca="1" t="shared" si="46"/>
        <v>-1748.9545856</v>
      </c>
      <c r="U149" s="313" t="s">
        <v>58</v>
      </c>
    </row>
    <row r="150" s="162" customFormat="1" ht="25" customHeight="1" spans="1:21">
      <c r="A150" s="208">
        <f>工程量核对表!A149</f>
        <v>8</v>
      </c>
      <c r="B150" s="282" t="str">
        <f>工程量核对表!B149</f>
        <v>M10沙浆抹面</v>
      </c>
      <c r="C150" s="210" t="str">
        <f>工程量核对表!C149</f>
        <v>m2</v>
      </c>
      <c r="D150" s="283">
        <v>65.26</v>
      </c>
      <c r="E150" s="283">
        <v>12.36</v>
      </c>
      <c r="F150" s="283"/>
      <c r="G150" s="283">
        <v>806.61</v>
      </c>
      <c r="H150" s="283"/>
      <c r="I150" s="283">
        <v>119.59</v>
      </c>
      <c r="J150" s="284">
        <v>17.05</v>
      </c>
      <c r="K150" s="284"/>
      <c r="L150" s="283">
        <v>2038.97</v>
      </c>
      <c r="M150" s="283"/>
      <c r="N150" s="298">
        <f ca="1">工程量核对表!F149</f>
        <v>0</v>
      </c>
      <c r="O150" s="213">
        <f>O39</f>
        <v>11.93</v>
      </c>
      <c r="P150" s="213"/>
      <c r="Q150" s="312">
        <f ca="1" t="shared" si="44"/>
        <v>0</v>
      </c>
      <c r="R150" s="312"/>
      <c r="S150" s="213">
        <f ca="1" t="shared" si="45"/>
        <v>-806.61</v>
      </c>
      <c r="T150" s="298">
        <f ca="1" t="shared" si="46"/>
        <v>-2038.97</v>
      </c>
      <c r="U150" s="313" t="s">
        <v>45</v>
      </c>
    </row>
    <row r="151" s="162" customFormat="1" ht="25" customHeight="1" spans="1:21">
      <c r="A151" s="208">
        <f>工程量核对表!A150</f>
        <v>9</v>
      </c>
      <c r="B151" s="282" t="str">
        <f>工程量核对表!B150</f>
        <v>M10沙浆抹面瓷砖粘贴</v>
      </c>
      <c r="C151" s="210" t="str">
        <f>工程量核对表!C150</f>
        <v>m2</v>
      </c>
      <c r="D151" s="283">
        <v>8.8</v>
      </c>
      <c r="E151" s="283">
        <v>95.34</v>
      </c>
      <c r="F151" s="283"/>
      <c r="G151" s="283">
        <v>838.99</v>
      </c>
      <c r="H151" s="283"/>
      <c r="I151" s="283">
        <v>25.18</v>
      </c>
      <c r="J151" s="284">
        <v>95.34</v>
      </c>
      <c r="K151" s="284"/>
      <c r="L151" s="283">
        <v>2400.18</v>
      </c>
      <c r="M151" s="283"/>
      <c r="N151" s="298">
        <f ca="1">工程量核对表!F150</f>
        <v>22.145</v>
      </c>
      <c r="O151" s="213">
        <f>O20</f>
        <v>88.6318432432432</v>
      </c>
      <c r="P151" s="213"/>
      <c r="Q151" s="312">
        <f ca="1" t="shared" si="44"/>
        <v>1962.75216862162</v>
      </c>
      <c r="R151" s="312"/>
      <c r="S151" s="213">
        <f ca="1" t="shared" si="45"/>
        <v>1123.76216862162</v>
      </c>
      <c r="T151" s="298">
        <f ca="1" t="shared" si="46"/>
        <v>-437.427831378379</v>
      </c>
      <c r="U151" s="313" t="s">
        <v>45</v>
      </c>
    </row>
    <row r="152" s="162" customFormat="1" ht="25" customHeight="1" spans="1:21">
      <c r="A152" s="208">
        <f>工程量核对表!A151</f>
        <v>10</v>
      </c>
      <c r="B152" s="282" t="str">
        <f>工程量核对表!B151</f>
        <v>人力二次转运材料（运距300米)</v>
      </c>
      <c r="C152" s="210" t="str">
        <f>工程量核对表!C151</f>
        <v>吨/km</v>
      </c>
      <c r="D152" s="283">
        <v>57.57</v>
      </c>
      <c r="E152" s="283">
        <v>300</v>
      </c>
      <c r="F152" s="283"/>
      <c r="G152" s="283">
        <v>17270.42</v>
      </c>
      <c r="H152" s="283"/>
      <c r="I152" s="283"/>
      <c r="J152" s="284"/>
      <c r="K152" s="284"/>
      <c r="L152" s="283"/>
      <c r="M152" s="283"/>
      <c r="N152" s="298"/>
      <c r="O152" s="213"/>
      <c r="P152" s="213"/>
      <c r="Q152" s="312"/>
      <c r="R152" s="312"/>
      <c r="S152" s="213">
        <f t="shared" si="45"/>
        <v>-17270.42</v>
      </c>
      <c r="T152" s="298">
        <f t="shared" si="46"/>
        <v>0</v>
      </c>
      <c r="U152" s="313"/>
    </row>
    <row r="153" s="162" customFormat="1" ht="25" customHeight="1" spans="1:21">
      <c r="A153" s="208">
        <f>工程量核对表!A152</f>
        <v>11</v>
      </c>
      <c r="B153" s="282" t="str">
        <f>工程量核对表!B152</f>
        <v>通气进人孔</v>
      </c>
      <c r="C153" s="210" t="str">
        <f>工程量核对表!C152</f>
        <v>套</v>
      </c>
      <c r="D153" s="283">
        <v>2</v>
      </c>
      <c r="E153" s="283">
        <v>500</v>
      </c>
      <c r="F153" s="283"/>
      <c r="G153" s="283">
        <v>1000</v>
      </c>
      <c r="H153" s="283"/>
      <c r="I153" s="283">
        <v>1</v>
      </c>
      <c r="J153" s="284">
        <v>500</v>
      </c>
      <c r="K153" s="284"/>
      <c r="L153" s="283">
        <v>500</v>
      </c>
      <c r="M153" s="283"/>
      <c r="N153" s="298">
        <f ca="1">工程量核对表!F152</f>
        <v>1</v>
      </c>
      <c r="O153" s="213">
        <f>O22</f>
        <v>464.81981981982</v>
      </c>
      <c r="P153" s="213"/>
      <c r="Q153" s="312">
        <f ca="1">N153*O153</f>
        <v>464.81981981982</v>
      </c>
      <c r="R153" s="312"/>
      <c r="S153" s="213">
        <f ca="1" t="shared" si="45"/>
        <v>-535.18018018018</v>
      </c>
      <c r="T153" s="298">
        <f ca="1" t="shared" si="46"/>
        <v>-35.18018018018</v>
      </c>
      <c r="U153" s="313" t="s">
        <v>45</v>
      </c>
    </row>
    <row r="154" s="162" customFormat="1" ht="25" customHeight="1" spans="1:21">
      <c r="A154" s="208" t="str">
        <f>工程量核对表!A153</f>
        <v>新增</v>
      </c>
      <c r="B154" s="282" t="str">
        <f>工程量核对表!B153</f>
        <v>电力线</v>
      </c>
      <c r="C154" s="210" t="str">
        <f>工程量核对表!C153</f>
        <v>m</v>
      </c>
      <c r="D154" s="283"/>
      <c r="E154" s="283"/>
      <c r="F154" s="283"/>
      <c r="G154" s="283"/>
      <c r="H154" s="283"/>
      <c r="I154" s="283"/>
      <c r="J154" s="284"/>
      <c r="K154" s="284"/>
      <c r="L154" s="283"/>
      <c r="M154" s="283"/>
      <c r="N154" s="298">
        <f ca="1">工程量核对表!F153</f>
        <v>150</v>
      </c>
      <c r="O154" s="213">
        <f>O23</f>
        <v>46.481981981982</v>
      </c>
      <c r="P154" s="213"/>
      <c r="Q154" s="312">
        <f ca="1">N154*O154</f>
        <v>6972.2972972973</v>
      </c>
      <c r="R154" s="312"/>
      <c r="S154" s="213">
        <f ca="1" t="shared" si="45"/>
        <v>6972.2972972973</v>
      </c>
      <c r="T154" s="298">
        <f ca="1" t="shared" si="46"/>
        <v>6972.2972972973</v>
      </c>
      <c r="U154" s="313" t="s">
        <v>45</v>
      </c>
    </row>
    <row r="155" s="162" customFormat="1" ht="25" customHeight="1" spans="1:21">
      <c r="A155" s="208" t="str">
        <f>工程量核对表!A154</f>
        <v>新增</v>
      </c>
      <c r="B155" s="282" t="str">
        <f>工程量核对表!B154</f>
        <v>杀毒器</v>
      </c>
      <c r="C155" s="210" t="str">
        <f>工程量核对表!C154</f>
        <v>台</v>
      </c>
      <c r="D155" s="283"/>
      <c r="E155" s="283"/>
      <c r="F155" s="283"/>
      <c r="G155" s="283"/>
      <c r="H155" s="283"/>
      <c r="I155" s="283"/>
      <c r="J155" s="284"/>
      <c r="K155" s="284"/>
      <c r="L155" s="283"/>
      <c r="M155" s="283"/>
      <c r="N155" s="298">
        <f ca="1">工程量核对表!F154</f>
        <v>1</v>
      </c>
      <c r="O155" s="213">
        <f>O24</f>
        <v>7437.11711711712</v>
      </c>
      <c r="P155" s="213"/>
      <c r="Q155" s="312">
        <f ca="1">N155*O155</f>
        <v>7437.11711711712</v>
      </c>
      <c r="R155" s="312"/>
      <c r="S155" s="213">
        <f ca="1" t="shared" si="45"/>
        <v>7437.11711711712</v>
      </c>
      <c r="T155" s="298">
        <f ca="1" t="shared" si="46"/>
        <v>7437.11711711712</v>
      </c>
      <c r="U155" s="313" t="s">
        <v>45</v>
      </c>
    </row>
    <row r="156" s="162" customFormat="1" ht="25" customHeight="1" spans="1:21">
      <c r="A156" s="208" t="str">
        <f>工程量核对表!A155</f>
        <v>新增</v>
      </c>
      <c r="B156" s="282" t="str">
        <f>工程量核对表!B155</f>
        <v>C20砼垫层</v>
      </c>
      <c r="C156" s="210" t="str">
        <f>工程量核对表!C155</f>
        <v>m3</v>
      </c>
      <c r="D156" s="283"/>
      <c r="E156" s="283"/>
      <c r="F156" s="283"/>
      <c r="G156" s="283"/>
      <c r="H156" s="283"/>
      <c r="I156" s="283">
        <v>1.91</v>
      </c>
      <c r="J156" s="284">
        <v>531.58</v>
      </c>
      <c r="K156" s="284"/>
      <c r="L156" s="283">
        <v>1015.05</v>
      </c>
      <c r="M156" s="283"/>
      <c r="N156" s="298">
        <f ca="1">工程量核对表!F155</f>
        <v>1.881</v>
      </c>
      <c r="O156" s="213">
        <f>O27</f>
        <v>448.73</v>
      </c>
      <c r="P156" s="213"/>
      <c r="Q156" s="312">
        <f ca="1" t="shared" ref="Q156:Q162" si="47">N156*O156</f>
        <v>844.06113</v>
      </c>
      <c r="R156" s="312"/>
      <c r="S156" s="213">
        <f ca="1" t="shared" si="45"/>
        <v>844.06113</v>
      </c>
      <c r="T156" s="298">
        <f ca="1" t="shared" si="46"/>
        <v>-170.98887</v>
      </c>
      <c r="U156" s="313" t="s">
        <v>59</v>
      </c>
    </row>
    <row r="157" s="162" customFormat="1" ht="25" customHeight="1" spans="1:21">
      <c r="A157" s="208" t="str">
        <f>工程量核对表!A156</f>
        <v>新增</v>
      </c>
      <c r="B157" s="282" t="str">
        <f>工程量核对表!B156</f>
        <v>C20砼地面</v>
      </c>
      <c r="C157" s="210" t="str">
        <f>工程量核对表!C156</f>
        <v>m3</v>
      </c>
      <c r="D157" s="283"/>
      <c r="E157" s="283"/>
      <c r="F157" s="283"/>
      <c r="G157" s="283"/>
      <c r="H157" s="283"/>
      <c r="I157" s="283">
        <v>1.32</v>
      </c>
      <c r="J157" s="284">
        <v>537.51</v>
      </c>
      <c r="K157" s="284"/>
      <c r="L157" s="283">
        <v>709.51</v>
      </c>
      <c r="M157" s="283"/>
      <c r="N157" s="298">
        <f ca="1">工程量核对表!F156</f>
        <v>1.1094</v>
      </c>
      <c r="O157" s="213">
        <f>O27</f>
        <v>448.73</v>
      </c>
      <c r="P157" s="213"/>
      <c r="Q157" s="312">
        <f ca="1" t="shared" si="47"/>
        <v>497.821062</v>
      </c>
      <c r="R157" s="312"/>
      <c r="S157" s="213">
        <f ca="1" t="shared" si="45"/>
        <v>497.821062</v>
      </c>
      <c r="T157" s="298">
        <f ca="1" t="shared" si="46"/>
        <v>-211.688938</v>
      </c>
      <c r="U157" s="313" t="s">
        <v>59</v>
      </c>
    </row>
    <row r="158" s="162" customFormat="1" ht="25" customHeight="1" spans="1:21">
      <c r="A158" s="208" t="str">
        <f>工程量核对表!A157</f>
        <v>新增</v>
      </c>
      <c r="B158" s="282" t="str">
        <f>工程量核对表!B157</f>
        <v>爬梯制安</v>
      </c>
      <c r="C158" s="210" t="str">
        <f>工程量核对表!C157</f>
        <v>步</v>
      </c>
      <c r="D158" s="283"/>
      <c r="E158" s="283"/>
      <c r="F158" s="283"/>
      <c r="G158" s="283"/>
      <c r="H158" s="283"/>
      <c r="I158" s="283">
        <v>9</v>
      </c>
      <c r="J158" s="284">
        <v>61.4</v>
      </c>
      <c r="K158" s="284"/>
      <c r="L158" s="283">
        <v>552.6</v>
      </c>
      <c r="M158" s="283"/>
      <c r="N158" s="298">
        <f ca="1">工程量核对表!F157</f>
        <v>9</v>
      </c>
      <c r="O158" s="213">
        <f>O28</f>
        <v>57.0798738738739</v>
      </c>
      <c r="P158" s="213"/>
      <c r="Q158" s="312">
        <f ca="1" t="shared" si="47"/>
        <v>513.718864864865</v>
      </c>
      <c r="R158" s="312"/>
      <c r="S158" s="213">
        <f ca="1" t="shared" si="45"/>
        <v>513.718864864865</v>
      </c>
      <c r="T158" s="298">
        <f ca="1" t="shared" si="46"/>
        <v>-38.881135135135</v>
      </c>
      <c r="U158" s="313" t="s">
        <v>60</v>
      </c>
    </row>
    <row r="159" s="162" customFormat="1" ht="25" customHeight="1" spans="1:21">
      <c r="A159" s="208" t="str">
        <f>工程量核对表!A158</f>
        <v>新增</v>
      </c>
      <c r="B159" s="282" t="str">
        <f>工程量核对表!B158</f>
        <v>脚手架</v>
      </c>
      <c r="C159" s="210" t="str">
        <f>工程量核对表!C158</f>
        <v>m2</v>
      </c>
      <c r="D159" s="283"/>
      <c r="E159" s="283"/>
      <c r="F159" s="283"/>
      <c r="G159" s="283"/>
      <c r="H159" s="283"/>
      <c r="I159" s="283">
        <v>30.22</v>
      </c>
      <c r="J159" s="284">
        <v>17.93</v>
      </c>
      <c r="K159" s="284"/>
      <c r="L159" s="283">
        <v>541.85</v>
      </c>
      <c r="M159" s="283"/>
      <c r="N159" s="298">
        <f ca="1">工程量核对表!F158</f>
        <v>0</v>
      </c>
      <c r="O159" s="213">
        <f>J159/1.11*1.0319</f>
        <v>16.6684387387387</v>
      </c>
      <c r="P159" s="213"/>
      <c r="Q159" s="312">
        <f ca="1" t="shared" si="47"/>
        <v>0</v>
      </c>
      <c r="R159" s="312"/>
      <c r="S159" s="213">
        <f ca="1" t="shared" si="45"/>
        <v>0</v>
      </c>
      <c r="T159" s="298">
        <f ca="1" t="shared" si="46"/>
        <v>-541.85</v>
      </c>
      <c r="U159" s="313"/>
    </row>
    <row r="160" s="162" customFormat="1" ht="25" customHeight="1" spans="1:21">
      <c r="A160" s="208" t="str">
        <f>工程量核对表!A159</f>
        <v>新增</v>
      </c>
      <c r="B160" s="282" t="str">
        <f>工程量核对表!B159</f>
        <v>池顶不锈钢护栏</v>
      </c>
      <c r="C160" s="210" t="str">
        <f>工程量核对表!C159</f>
        <v>m2</v>
      </c>
      <c r="D160" s="283"/>
      <c r="E160" s="283"/>
      <c r="F160" s="283"/>
      <c r="G160" s="283"/>
      <c r="H160" s="283"/>
      <c r="I160" s="283">
        <v>36</v>
      </c>
      <c r="J160" s="284">
        <v>150</v>
      </c>
      <c r="K160" s="284"/>
      <c r="L160" s="283">
        <v>5400</v>
      </c>
      <c r="M160" s="283"/>
      <c r="N160" s="298">
        <f ca="1">工程量核对表!F159</f>
        <v>35.7</v>
      </c>
      <c r="O160" s="213">
        <f>O30</f>
        <v>139.445945945946</v>
      </c>
      <c r="P160" s="213"/>
      <c r="Q160" s="312">
        <f ca="1" t="shared" si="47"/>
        <v>4978.22027027027</v>
      </c>
      <c r="R160" s="312"/>
      <c r="S160" s="213">
        <f ca="1" t="shared" si="45"/>
        <v>4978.22027027027</v>
      </c>
      <c r="T160" s="298">
        <f ca="1" t="shared" si="46"/>
        <v>-421.779729729727</v>
      </c>
      <c r="U160" s="313" t="s">
        <v>45</v>
      </c>
    </row>
    <row r="161" s="162" customFormat="1" ht="25" customHeight="1" spans="1:21">
      <c r="A161" s="208" t="str">
        <f>工程量核对表!A160</f>
        <v>新增</v>
      </c>
      <c r="B161" s="282" t="str">
        <f>工程量核对表!B160</f>
        <v>饮水安全标志牌</v>
      </c>
      <c r="C161" s="210" t="str">
        <f>工程量核对表!C160</f>
        <v>个</v>
      </c>
      <c r="D161" s="283"/>
      <c r="E161" s="283"/>
      <c r="F161" s="283"/>
      <c r="G161" s="283"/>
      <c r="H161" s="283"/>
      <c r="I161" s="283">
        <v>1</v>
      </c>
      <c r="J161" s="284">
        <v>100</v>
      </c>
      <c r="K161" s="284"/>
      <c r="L161" s="283">
        <v>100</v>
      </c>
      <c r="M161" s="283"/>
      <c r="N161" s="298">
        <f ca="1">工程量核对表!F160</f>
        <v>1</v>
      </c>
      <c r="O161" s="213">
        <f>O31</f>
        <v>92.963963963964</v>
      </c>
      <c r="P161" s="213"/>
      <c r="Q161" s="312">
        <f ca="1" t="shared" si="47"/>
        <v>92.963963963964</v>
      </c>
      <c r="R161" s="312"/>
      <c r="S161" s="213">
        <f ca="1" t="shared" si="45"/>
        <v>92.963963963964</v>
      </c>
      <c r="T161" s="298">
        <f ca="1" t="shared" si="46"/>
        <v>-7.03603603603599</v>
      </c>
      <c r="U161" s="313" t="s">
        <v>60</v>
      </c>
    </row>
    <row r="162" s="162" customFormat="1" ht="25" customHeight="1" spans="1:21">
      <c r="A162" s="208" t="str">
        <f>工程量核对表!A161</f>
        <v>新增</v>
      </c>
      <c r="B162" s="282" t="str">
        <f>工程量核对表!B161</f>
        <v>干砌块石堡坎</v>
      </c>
      <c r="C162" s="210" t="str">
        <f>工程量核对表!C161</f>
        <v>m3</v>
      </c>
      <c r="D162" s="283"/>
      <c r="E162" s="283"/>
      <c r="F162" s="283"/>
      <c r="G162" s="283"/>
      <c r="H162" s="283"/>
      <c r="I162" s="283">
        <v>12.51</v>
      </c>
      <c r="J162" s="284">
        <v>251.66</v>
      </c>
      <c r="K162" s="284"/>
      <c r="L162" s="283">
        <v>3147.89</v>
      </c>
      <c r="M162" s="283"/>
      <c r="N162" s="298">
        <f ca="1">工程量核对表!F161</f>
        <v>12.4155</v>
      </c>
      <c r="O162" s="213">
        <v>118.78</v>
      </c>
      <c r="P162" s="213"/>
      <c r="Q162" s="312">
        <f ca="1" t="shared" si="47"/>
        <v>1474.71309</v>
      </c>
      <c r="R162" s="312"/>
      <c r="S162" s="213">
        <f ca="1" t="shared" si="45"/>
        <v>1474.71309</v>
      </c>
      <c r="T162" s="298">
        <f ca="1" t="shared" si="46"/>
        <v>-1673.17691</v>
      </c>
      <c r="U162" s="313" t="s">
        <v>59</v>
      </c>
    </row>
    <row r="163" s="162" customFormat="1" ht="25" customHeight="1" spans="1:21">
      <c r="A163" s="278" t="str">
        <f>工程量核对表!A162</f>
        <v>（二）</v>
      </c>
      <c r="B163" s="279" t="str">
        <f>工程量核对表!B162</f>
        <v>过滤池（集水池工程）</v>
      </c>
      <c r="C163" s="280"/>
      <c r="D163" s="281"/>
      <c r="E163" s="281"/>
      <c r="F163" s="281"/>
      <c r="G163" s="281"/>
      <c r="H163" s="281"/>
      <c r="I163" s="281"/>
      <c r="J163" s="285"/>
      <c r="K163" s="285"/>
      <c r="L163" s="281">
        <v>2003.37</v>
      </c>
      <c r="M163" s="281"/>
      <c r="N163" s="296"/>
      <c r="O163" s="297"/>
      <c r="P163" s="297"/>
      <c r="Q163" s="310">
        <f ca="1">SUM(Q164:Q173)</f>
        <v>2849.0610772973</v>
      </c>
      <c r="R163" s="310"/>
      <c r="S163" s="310">
        <f ca="1" t="shared" ref="Q163:T163" si="48">SUM(S164:S173)</f>
        <v>2849.0610772973</v>
      </c>
      <c r="T163" s="310">
        <f ca="1" t="shared" si="48"/>
        <v>845.711077297297</v>
      </c>
      <c r="U163" s="311"/>
    </row>
    <row r="164" s="162" customFormat="1" ht="25" customHeight="1" spans="1:21">
      <c r="A164" s="208">
        <f>工程量核对表!A163</f>
        <v>1</v>
      </c>
      <c r="B164" s="282" t="str">
        <f>工程量核对表!B163</f>
        <v>土方开挖</v>
      </c>
      <c r="C164" s="210" t="str">
        <f>工程量核对表!C163</f>
        <v>m3</v>
      </c>
      <c r="D164" s="283"/>
      <c r="E164" s="283"/>
      <c r="F164" s="283"/>
      <c r="G164" s="283"/>
      <c r="H164" s="283"/>
      <c r="I164" s="283">
        <v>2.27</v>
      </c>
      <c r="J164" s="284">
        <v>19.7</v>
      </c>
      <c r="K164" s="284"/>
      <c r="L164" s="283">
        <v>44.68</v>
      </c>
      <c r="M164" s="283"/>
      <c r="N164" s="298">
        <f ca="1">工程量核对表!F163</f>
        <v>2.268</v>
      </c>
      <c r="O164" s="213">
        <f>O33</f>
        <v>12.15</v>
      </c>
      <c r="P164" s="213"/>
      <c r="Q164" s="312">
        <f ca="1" t="shared" ref="Q164:Q173" si="49">N164*O164</f>
        <v>27.5562</v>
      </c>
      <c r="R164" s="312"/>
      <c r="S164" s="213">
        <f ca="1" t="shared" ref="S164:S173" si="50">Q164-G164</f>
        <v>27.5562</v>
      </c>
      <c r="T164" s="298">
        <f ca="1" t="shared" ref="T164:T173" si="51">Q164-L164</f>
        <v>-17.1238</v>
      </c>
      <c r="U164" s="313" t="s">
        <v>45</v>
      </c>
    </row>
    <row r="165" s="162" customFormat="1" ht="25" customHeight="1" spans="1:21">
      <c r="A165" s="208">
        <f>工程量核对表!A164</f>
        <v>2</v>
      </c>
      <c r="B165" s="282" t="str">
        <f>工程量核对表!B164</f>
        <v>C25混凝土底板浇筑【资料C20】</v>
      </c>
      <c r="C165" s="210" t="str">
        <f>工程量核对表!C164</f>
        <v>m3</v>
      </c>
      <c r="D165" s="283"/>
      <c r="E165" s="283"/>
      <c r="F165" s="283"/>
      <c r="G165" s="283"/>
      <c r="H165" s="283"/>
      <c r="I165" s="283">
        <v>0.34</v>
      </c>
      <c r="J165" s="284">
        <v>537.51</v>
      </c>
      <c r="K165" s="284"/>
      <c r="L165" s="283">
        <v>182.75</v>
      </c>
      <c r="M165" s="283"/>
      <c r="N165" s="298">
        <f ca="1">工程量核对表!F164</f>
        <v>0.34</v>
      </c>
      <c r="O165" s="213">
        <f>O27</f>
        <v>448.73</v>
      </c>
      <c r="P165" s="213"/>
      <c r="Q165" s="312">
        <f ca="1" t="shared" si="49"/>
        <v>152.5682</v>
      </c>
      <c r="R165" s="312"/>
      <c r="S165" s="213">
        <f ca="1" t="shared" si="50"/>
        <v>152.5682</v>
      </c>
      <c r="T165" s="298">
        <f ca="1" t="shared" si="51"/>
        <v>-30.1818</v>
      </c>
      <c r="U165" s="313" t="s">
        <v>59</v>
      </c>
    </row>
    <row r="166" s="162" customFormat="1" ht="25" customHeight="1" spans="1:21">
      <c r="A166" s="208">
        <f>工程量核对表!A165</f>
        <v>3</v>
      </c>
      <c r="B166" s="282" t="str">
        <f>工程量核对表!B165</f>
        <v>C25混凝土顶板浇筑</v>
      </c>
      <c r="C166" s="210" t="str">
        <f>工程量核对表!C165</f>
        <v>m3</v>
      </c>
      <c r="D166" s="283"/>
      <c r="E166" s="283"/>
      <c r="F166" s="283"/>
      <c r="G166" s="283"/>
      <c r="H166" s="283"/>
      <c r="I166" s="283">
        <v>0.24</v>
      </c>
      <c r="J166" s="284">
        <v>592.81</v>
      </c>
      <c r="K166" s="284"/>
      <c r="L166" s="283">
        <v>141.09</v>
      </c>
      <c r="M166" s="283"/>
      <c r="N166" s="298">
        <f ca="1">工程量核对表!F165</f>
        <v>0.238</v>
      </c>
      <c r="O166" s="213">
        <f>O34</f>
        <v>452.81</v>
      </c>
      <c r="P166" s="213"/>
      <c r="Q166" s="312">
        <f ca="1" t="shared" si="49"/>
        <v>107.76878</v>
      </c>
      <c r="R166" s="312"/>
      <c r="S166" s="213">
        <f ca="1" t="shared" si="50"/>
        <v>107.76878</v>
      </c>
      <c r="T166" s="298">
        <f ca="1" t="shared" si="51"/>
        <v>-33.32122</v>
      </c>
      <c r="U166" s="313" t="s">
        <v>45</v>
      </c>
    </row>
    <row r="167" s="162" customFormat="1" ht="25" customHeight="1" spans="1:21">
      <c r="A167" s="208">
        <f>工程量核对表!A166</f>
        <v>4</v>
      </c>
      <c r="B167" s="282" t="str">
        <f>工程量核对表!B166</f>
        <v>M7.5砖砌</v>
      </c>
      <c r="C167" s="210" t="str">
        <f>工程量核对表!C166</f>
        <v>m3</v>
      </c>
      <c r="D167" s="283"/>
      <c r="E167" s="283"/>
      <c r="F167" s="283"/>
      <c r="G167" s="283"/>
      <c r="H167" s="283"/>
      <c r="I167" s="283">
        <v>1.24</v>
      </c>
      <c r="J167" s="284">
        <v>582.15</v>
      </c>
      <c r="K167" s="284"/>
      <c r="L167" s="283">
        <v>723.73</v>
      </c>
      <c r="M167" s="283"/>
      <c r="N167" s="298">
        <f ca="1">工程量核对表!F166</f>
        <v>4.508</v>
      </c>
      <c r="O167" s="213">
        <f t="shared" ref="O167:O173" si="52">O36</f>
        <v>418.59</v>
      </c>
      <c r="P167" s="213"/>
      <c r="Q167" s="312">
        <f ca="1" t="shared" si="49"/>
        <v>1887.00372</v>
      </c>
      <c r="R167" s="312"/>
      <c r="S167" s="213">
        <f ca="1" t="shared" si="50"/>
        <v>1887.00372</v>
      </c>
      <c r="T167" s="298">
        <f ca="1" t="shared" si="51"/>
        <v>1163.27372</v>
      </c>
      <c r="U167" s="313" t="s">
        <v>45</v>
      </c>
    </row>
    <row r="168" s="162" customFormat="1" ht="25" customHeight="1" spans="1:21">
      <c r="A168" s="208">
        <f>工程量核对表!A167</f>
        <v>5</v>
      </c>
      <c r="B168" s="282" t="str">
        <f>工程量核对表!B167</f>
        <v>木模制安</v>
      </c>
      <c r="C168" s="210" t="str">
        <f>工程量核对表!C167</f>
        <v>m2</v>
      </c>
      <c r="D168" s="283"/>
      <c r="E168" s="283"/>
      <c r="F168" s="283"/>
      <c r="G168" s="283"/>
      <c r="H168" s="283"/>
      <c r="I168" s="283">
        <v>2.37</v>
      </c>
      <c r="J168" s="284">
        <v>58.41</v>
      </c>
      <c r="K168" s="284"/>
      <c r="L168" s="283">
        <v>138.57</v>
      </c>
      <c r="M168" s="283"/>
      <c r="N168" s="298">
        <f ca="1">工程量核对表!F167</f>
        <v>2.3724</v>
      </c>
      <c r="O168" s="213">
        <f t="shared" si="52"/>
        <v>59.86</v>
      </c>
      <c r="P168" s="213"/>
      <c r="Q168" s="312">
        <f ca="1" t="shared" si="49"/>
        <v>142.011864</v>
      </c>
      <c r="R168" s="312"/>
      <c r="S168" s="213">
        <f ca="1" t="shared" si="50"/>
        <v>142.011864</v>
      </c>
      <c r="T168" s="298">
        <f ca="1" t="shared" si="51"/>
        <v>3.44186400000001</v>
      </c>
      <c r="U168" s="313" t="s">
        <v>45</v>
      </c>
    </row>
    <row r="169" s="162" customFormat="1" ht="25" customHeight="1" spans="1:21">
      <c r="A169" s="208">
        <f>工程量核对表!A168</f>
        <v>6</v>
      </c>
      <c r="B169" s="282" t="str">
        <f>工程量核对表!B168</f>
        <v>钢筋制安</v>
      </c>
      <c r="C169" s="210" t="s">
        <v>57</v>
      </c>
      <c r="D169" s="283"/>
      <c r="E169" s="283"/>
      <c r="F169" s="283"/>
      <c r="G169" s="283"/>
      <c r="H169" s="283"/>
      <c r="I169" s="283">
        <v>0.02</v>
      </c>
      <c r="J169" s="284">
        <v>6596.11</v>
      </c>
      <c r="K169" s="284"/>
      <c r="L169" s="283">
        <v>122.34</v>
      </c>
      <c r="M169" s="283"/>
      <c r="N169" s="298">
        <f ca="1">工程量核对表!F168/1000</f>
        <v>0.035392</v>
      </c>
      <c r="O169" s="213">
        <f t="shared" si="52"/>
        <v>5920</v>
      </c>
      <c r="P169" s="213"/>
      <c r="Q169" s="312">
        <f ca="1" t="shared" si="49"/>
        <v>209.52064</v>
      </c>
      <c r="R169" s="312"/>
      <c r="S169" s="213">
        <f ca="1" t="shared" si="50"/>
        <v>209.52064</v>
      </c>
      <c r="T169" s="298">
        <f ca="1" t="shared" si="51"/>
        <v>87.18064</v>
      </c>
      <c r="U169" s="313" t="s">
        <v>58</v>
      </c>
    </row>
    <row r="170" s="162" customFormat="1" ht="25" customHeight="1" spans="1:21">
      <c r="A170" s="208">
        <f>工程量核对表!A169</f>
        <v>7</v>
      </c>
      <c r="B170" s="282" t="str">
        <f>工程量核对表!B169</f>
        <v>M10沙浆抹面</v>
      </c>
      <c r="C170" s="210" t="str">
        <f>工程量核对表!C169</f>
        <v>m2</v>
      </c>
      <c r="D170" s="283"/>
      <c r="E170" s="283"/>
      <c r="F170" s="283"/>
      <c r="G170" s="283"/>
      <c r="H170" s="283"/>
      <c r="I170" s="283">
        <v>5.7</v>
      </c>
      <c r="J170" s="284">
        <v>17.05</v>
      </c>
      <c r="K170" s="284"/>
      <c r="L170" s="283">
        <v>97.17</v>
      </c>
      <c r="M170" s="283"/>
      <c r="N170" s="298">
        <f ca="1">工程量核对表!F169</f>
        <v>5.6992</v>
      </c>
      <c r="O170" s="213">
        <f t="shared" si="52"/>
        <v>11.93</v>
      </c>
      <c r="P170" s="213"/>
      <c r="Q170" s="312">
        <f ca="1" t="shared" si="49"/>
        <v>67.991456</v>
      </c>
      <c r="R170" s="312"/>
      <c r="S170" s="213">
        <f ca="1" t="shared" si="50"/>
        <v>67.991456</v>
      </c>
      <c r="T170" s="298">
        <f ca="1" t="shared" si="51"/>
        <v>-29.178544</v>
      </c>
      <c r="U170" s="313" t="s">
        <v>45</v>
      </c>
    </row>
    <row r="171" s="162" customFormat="1" ht="25" customHeight="1" spans="1:21">
      <c r="A171" s="208">
        <f>工程量核对表!A170</f>
        <v>8</v>
      </c>
      <c r="B171" s="282" t="str">
        <f>工程量核对表!B170</f>
        <v>砂石滤料</v>
      </c>
      <c r="C171" s="210" t="str">
        <f>工程量核对表!C170</f>
        <v>m3</v>
      </c>
      <c r="D171" s="283"/>
      <c r="E171" s="283"/>
      <c r="F171" s="283"/>
      <c r="G171" s="283"/>
      <c r="H171" s="283"/>
      <c r="I171" s="283">
        <v>1.58</v>
      </c>
      <c r="J171" s="284">
        <v>270.26</v>
      </c>
      <c r="K171" s="284"/>
      <c r="L171" s="283">
        <v>428.09</v>
      </c>
      <c r="M171" s="283"/>
      <c r="N171" s="298">
        <f ca="1">工程量核对表!F170</f>
        <v>1.11264</v>
      </c>
      <c r="O171" s="213">
        <f t="shared" si="52"/>
        <v>139.445945945946</v>
      </c>
      <c r="P171" s="213"/>
      <c r="Q171" s="312">
        <f ca="1" t="shared" si="49"/>
        <v>155.153137297297</v>
      </c>
      <c r="R171" s="312"/>
      <c r="S171" s="213">
        <f ca="1" t="shared" si="50"/>
        <v>155.153137297297</v>
      </c>
      <c r="T171" s="298">
        <f ca="1" t="shared" si="51"/>
        <v>-272.936862702703</v>
      </c>
      <c r="U171" s="313" t="s">
        <v>45</v>
      </c>
    </row>
    <row r="172" s="162" customFormat="1" ht="25" customHeight="1" spans="1:21">
      <c r="A172" s="208" t="str">
        <f>工程量核对表!A171</f>
        <v>新增</v>
      </c>
      <c r="B172" s="282" t="str">
        <f>工程量核对表!B171</f>
        <v>石方开挖</v>
      </c>
      <c r="C172" s="210" t="str">
        <f>工程量核对表!C171</f>
        <v>m3</v>
      </c>
      <c r="D172" s="283"/>
      <c r="E172" s="283"/>
      <c r="F172" s="283"/>
      <c r="G172" s="283"/>
      <c r="H172" s="283"/>
      <c r="I172" s="283">
        <v>1.51</v>
      </c>
      <c r="J172" s="284">
        <v>57.04</v>
      </c>
      <c r="K172" s="284"/>
      <c r="L172" s="283">
        <v>86.24</v>
      </c>
      <c r="M172" s="283"/>
      <c r="N172" s="298">
        <f ca="1">工程量核对表!F171</f>
        <v>1.512</v>
      </c>
      <c r="O172" s="213">
        <f t="shared" si="52"/>
        <v>53.28</v>
      </c>
      <c r="P172" s="213"/>
      <c r="Q172" s="312">
        <f ca="1" t="shared" si="49"/>
        <v>80.55936</v>
      </c>
      <c r="R172" s="312"/>
      <c r="S172" s="213">
        <f ca="1" t="shared" si="50"/>
        <v>80.55936</v>
      </c>
      <c r="T172" s="298">
        <f ca="1" t="shared" si="51"/>
        <v>-5.68063999999998</v>
      </c>
      <c r="U172" s="313" t="s">
        <v>45</v>
      </c>
    </row>
    <row r="173" s="162" customFormat="1" ht="25" customHeight="1" spans="1:21">
      <c r="A173" s="208" t="str">
        <f>工程量核对表!A172</f>
        <v>新增</v>
      </c>
      <c r="B173" s="282" t="str">
        <f>工程量核对表!B172</f>
        <v>土石方回填</v>
      </c>
      <c r="C173" s="210" t="str">
        <f>工程量核对表!C172</f>
        <v>m3</v>
      </c>
      <c r="D173" s="283"/>
      <c r="E173" s="283"/>
      <c r="F173" s="283"/>
      <c r="G173" s="283"/>
      <c r="H173" s="283"/>
      <c r="I173" s="283">
        <v>1.55</v>
      </c>
      <c r="J173" s="284">
        <v>24.9</v>
      </c>
      <c r="K173" s="284"/>
      <c r="L173" s="283">
        <v>38.69</v>
      </c>
      <c r="M173" s="283"/>
      <c r="N173" s="298">
        <f ca="1">工程量核对表!F172</f>
        <v>1.554</v>
      </c>
      <c r="O173" s="213">
        <f t="shared" si="52"/>
        <v>12.18</v>
      </c>
      <c r="P173" s="213"/>
      <c r="Q173" s="312">
        <f ca="1" t="shared" si="49"/>
        <v>18.92772</v>
      </c>
      <c r="R173" s="312"/>
      <c r="S173" s="213">
        <f ca="1" t="shared" si="50"/>
        <v>18.92772</v>
      </c>
      <c r="T173" s="298">
        <f ca="1" t="shared" si="51"/>
        <v>-19.76228</v>
      </c>
      <c r="U173" s="313" t="s">
        <v>45</v>
      </c>
    </row>
    <row r="174" s="162" customFormat="1" ht="25" customHeight="1" spans="1:21">
      <c r="A174" s="278" t="str">
        <f>工程量核对表!A173</f>
        <v>（三）</v>
      </c>
      <c r="B174" s="279" t="str">
        <f>工程量核对表!B173</f>
        <v>3m蓄水池厂区工程（刘家湾、张家梁）</v>
      </c>
      <c r="C174" s="280"/>
      <c r="D174" s="281"/>
      <c r="E174" s="281"/>
      <c r="F174" s="281"/>
      <c r="G174" s="281">
        <f>SUM(G175:G181)</f>
        <v>44113.37</v>
      </c>
      <c r="H174" s="281"/>
      <c r="I174" s="281"/>
      <c r="J174" s="285"/>
      <c r="K174" s="285"/>
      <c r="L174" s="281">
        <v>0</v>
      </c>
      <c r="M174" s="281"/>
      <c r="N174" s="296"/>
      <c r="O174" s="297"/>
      <c r="P174" s="297"/>
      <c r="Q174" s="310">
        <f ca="1">SUM(Q175:Q181)</f>
        <v>0</v>
      </c>
      <c r="R174" s="310"/>
      <c r="S174" s="310">
        <f ca="1" t="shared" ref="Q174:T174" si="53">SUM(S175:S181)</f>
        <v>-44113.37</v>
      </c>
      <c r="T174" s="310">
        <f ca="1" t="shared" si="53"/>
        <v>0</v>
      </c>
      <c r="U174" s="311" t="s">
        <v>68</v>
      </c>
    </row>
    <row r="175" s="162" customFormat="1" ht="25" customHeight="1" spans="1:21">
      <c r="A175" s="208">
        <f>工程量核对表!A174</f>
        <v>1</v>
      </c>
      <c r="B175" s="282" t="str">
        <f>工程量核对表!B174</f>
        <v>C25砼厂区硬化</v>
      </c>
      <c r="C175" s="210" t="str">
        <f>工程量核对表!C174</f>
        <v>m3</v>
      </c>
      <c r="D175" s="283">
        <v>11.4</v>
      </c>
      <c r="E175" s="283">
        <v>462.3</v>
      </c>
      <c r="F175" s="283"/>
      <c r="G175" s="283">
        <v>5270.22</v>
      </c>
      <c r="H175" s="283"/>
      <c r="I175" s="283"/>
      <c r="J175" s="284"/>
      <c r="K175" s="284"/>
      <c r="L175" s="283"/>
      <c r="M175" s="283"/>
      <c r="N175" s="298">
        <f ca="1">工程量核对表!F174</f>
        <v>0</v>
      </c>
      <c r="O175" s="213">
        <f>O34</f>
        <v>452.81</v>
      </c>
      <c r="P175" s="213"/>
      <c r="Q175" s="312">
        <f ca="1" t="shared" ref="Q175:Q181" si="54">N175*O175</f>
        <v>0</v>
      </c>
      <c r="R175" s="312"/>
      <c r="S175" s="213">
        <f ca="1" t="shared" ref="S175:S181" si="55">Q175-G175</f>
        <v>-5270.22</v>
      </c>
      <c r="T175" s="298">
        <f ca="1" t="shared" ref="T175:T181" si="56">Q175-L175</f>
        <v>0</v>
      </c>
      <c r="U175" s="313" t="s">
        <v>45</v>
      </c>
    </row>
    <row r="176" s="162" customFormat="1" ht="25" customHeight="1" spans="1:21">
      <c r="A176" s="208">
        <f>工程量核对表!A175</f>
        <v>2</v>
      </c>
      <c r="B176" s="282" t="str">
        <f>工程量核对表!B175</f>
        <v>C25圈梁基础</v>
      </c>
      <c r="C176" s="210" t="str">
        <f>工程量核对表!C175</f>
        <v>m3</v>
      </c>
      <c r="D176" s="283">
        <v>2.88</v>
      </c>
      <c r="E176" s="283">
        <v>462.3</v>
      </c>
      <c r="F176" s="283"/>
      <c r="G176" s="283">
        <v>1331.42</v>
      </c>
      <c r="H176" s="283"/>
      <c r="I176" s="283"/>
      <c r="J176" s="284"/>
      <c r="K176" s="284"/>
      <c r="L176" s="283"/>
      <c r="M176" s="283"/>
      <c r="N176" s="298">
        <f ca="1">工程量核对表!F175</f>
        <v>0</v>
      </c>
      <c r="O176" s="213">
        <f>O34</f>
        <v>452.81</v>
      </c>
      <c r="P176" s="213"/>
      <c r="Q176" s="312">
        <f ca="1" t="shared" si="54"/>
        <v>0</v>
      </c>
      <c r="R176" s="312"/>
      <c r="S176" s="213">
        <f ca="1" t="shared" si="55"/>
        <v>-1331.42</v>
      </c>
      <c r="T176" s="298">
        <f ca="1" t="shared" si="56"/>
        <v>0</v>
      </c>
      <c r="U176" s="313" t="s">
        <v>45</v>
      </c>
    </row>
    <row r="177" s="162" customFormat="1" ht="25" customHeight="1" spans="1:21">
      <c r="A177" s="208">
        <f>工程量核对表!A176</f>
        <v>3</v>
      </c>
      <c r="B177" s="282" t="str">
        <f>工程量核对表!B176</f>
        <v>钢筋制安</v>
      </c>
      <c r="C177" s="210" t="s">
        <v>57</v>
      </c>
      <c r="D177" s="283">
        <v>85.28</v>
      </c>
      <c r="E177" s="283">
        <v>5.66</v>
      </c>
      <c r="F177" s="283"/>
      <c r="G177" s="283">
        <v>482.68</v>
      </c>
      <c r="H177" s="283"/>
      <c r="I177" s="283"/>
      <c r="J177" s="284"/>
      <c r="K177" s="284"/>
      <c r="L177" s="283"/>
      <c r="M177" s="283"/>
      <c r="N177" s="298">
        <f ca="1">工程量核对表!F176</f>
        <v>0</v>
      </c>
      <c r="O177" s="213">
        <f>O38</f>
        <v>5920</v>
      </c>
      <c r="P177" s="213"/>
      <c r="Q177" s="312">
        <f ca="1" t="shared" si="54"/>
        <v>0</v>
      </c>
      <c r="R177" s="312"/>
      <c r="S177" s="213">
        <f ca="1" t="shared" si="55"/>
        <v>-482.68</v>
      </c>
      <c r="T177" s="298">
        <f ca="1" t="shared" si="56"/>
        <v>0</v>
      </c>
      <c r="U177" s="313" t="s">
        <v>58</v>
      </c>
    </row>
    <row r="178" s="162" customFormat="1" ht="25" customHeight="1" spans="1:21">
      <c r="A178" s="208">
        <f>工程量核对表!A177</f>
        <v>4</v>
      </c>
      <c r="B178" s="282" t="str">
        <f>工程量核对表!B177</f>
        <v>M7.5砖砌围墙</v>
      </c>
      <c r="C178" s="210" t="str">
        <f>工程量核对表!C177</f>
        <v>m3</v>
      </c>
      <c r="D178" s="283">
        <v>15.1</v>
      </c>
      <c r="E178" s="283">
        <v>442.25</v>
      </c>
      <c r="F178" s="283"/>
      <c r="G178" s="283">
        <v>6677.98</v>
      </c>
      <c r="H178" s="283"/>
      <c r="I178" s="283"/>
      <c r="J178" s="284"/>
      <c r="K178" s="284"/>
      <c r="L178" s="283"/>
      <c r="M178" s="283"/>
      <c r="N178" s="298">
        <f ca="1">工程量核对表!F177</f>
        <v>0</v>
      </c>
      <c r="O178" s="213">
        <f>O47</f>
        <v>418.59</v>
      </c>
      <c r="P178" s="213"/>
      <c r="Q178" s="312">
        <f ca="1" t="shared" si="54"/>
        <v>0</v>
      </c>
      <c r="R178" s="312"/>
      <c r="S178" s="213">
        <f ca="1" t="shared" si="55"/>
        <v>-6677.98</v>
      </c>
      <c r="T178" s="298">
        <f ca="1" t="shared" si="56"/>
        <v>0</v>
      </c>
      <c r="U178" s="313" t="s">
        <v>45</v>
      </c>
    </row>
    <row r="179" s="162" customFormat="1" ht="25" customHeight="1" spans="1:21">
      <c r="A179" s="208">
        <f>工程量核对表!A178</f>
        <v>5</v>
      </c>
      <c r="B179" s="282" t="str">
        <f>工程量核对表!B178</f>
        <v>墙面瓷砖粘贴</v>
      </c>
      <c r="C179" s="210" t="str">
        <f>工程量核对表!C178</f>
        <v>m2</v>
      </c>
      <c r="D179" s="283">
        <v>144.62</v>
      </c>
      <c r="E179" s="283">
        <v>95.34</v>
      </c>
      <c r="F179" s="283"/>
      <c r="G179" s="283">
        <v>13788.07</v>
      </c>
      <c r="H179" s="283"/>
      <c r="I179" s="283"/>
      <c r="J179" s="284"/>
      <c r="K179" s="284"/>
      <c r="L179" s="283"/>
      <c r="M179" s="283"/>
      <c r="N179" s="298">
        <f ca="1">工程量核对表!F178</f>
        <v>0</v>
      </c>
      <c r="O179" s="213">
        <f>O20</f>
        <v>88.6318432432432</v>
      </c>
      <c r="P179" s="213"/>
      <c r="Q179" s="312">
        <f ca="1" t="shared" si="54"/>
        <v>0</v>
      </c>
      <c r="R179" s="312"/>
      <c r="S179" s="213">
        <f ca="1" t="shared" si="55"/>
        <v>-13788.07</v>
      </c>
      <c r="T179" s="298">
        <f ca="1" t="shared" si="56"/>
        <v>0</v>
      </c>
      <c r="U179" s="313" t="s">
        <v>45</v>
      </c>
    </row>
    <row r="180" s="162" customFormat="1" ht="25" customHeight="1" spans="1:21">
      <c r="A180" s="208">
        <f>工程量核对表!A179</f>
        <v>6</v>
      </c>
      <c r="B180" s="282" t="str">
        <f>工程量核对表!B179</f>
        <v>不锈钢大门</v>
      </c>
      <c r="C180" s="210" t="str">
        <f>工程量核对表!C179</f>
        <v>m2</v>
      </c>
      <c r="D180" s="283">
        <v>12.5</v>
      </c>
      <c r="E180" s="283">
        <v>247.92</v>
      </c>
      <c r="F180" s="283"/>
      <c r="G180" s="283">
        <v>3099</v>
      </c>
      <c r="H180" s="283"/>
      <c r="I180" s="283"/>
      <c r="J180" s="284"/>
      <c r="K180" s="284"/>
      <c r="L180" s="283"/>
      <c r="M180" s="283"/>
      <c r="N180" s="298">
        <f ca="1">工程量核对表!F179</f>
        <v>0</v>
      </c>
      <c r="O180" s="213">
        <f>E180/1.11*1.0319</f>
        <v>230.476259459459</v>
      </c>
      <c r="P180" s="213"/>
      <c r="Q180" s="312">
        <f ca="1" t="shared" si="54"/>
        <v>0</v>
      </c>
      <c r="R180" s="312"/>
      <c r="S180" s="213">
        <f ca="1" t="shared" si="55"/>
        <v>-3099</v>
      </c>
      <c r="T180" s="298">
        <f ca="1" t="shared" si="56"/>
        <v>0</v>
      </c>
      <c r="U180" s="313" t="s">
        <v>45</v>
      </c>
    </row>
    <row r="181" s="162" customFormat="1" ht="25" customHeight="1" spans="1:21">
      <c r="A181" s="208">
        <f>工程量核对表!A180</f>
        <v>7</v>
      </c>
      <c r="B181" s="282" t="str">
        <f>工程量核对表!B180</f>
        <v>不锈钢护栏</v>
      </c>
      <c r="C181" s="210" t="str">
        <f>工程量核对表!C180</f>
        <v>m2</v>
      </c>
      <c r="D181" s="283">
        <v>89.76</v>
      </c>
      <c r="E181" s="284">
        <v>150</v>
      </c>
      <c r="F181" s="283"/>
      <c r="G181" s="283">
        <v>13464</v>
      </c>
      <c r="H181" s="283"/>
      <c r="I181" s="283"/>
      <c r="J181" s="284"/>
      <c r="K181" s="284"/>
      <c r="L181" s="283"/>
      <c r="M181" s="283"/>
      <c r="N181" s="298">
        <f ca="1">工程量核对表!F180</f>
        <v>0</v>
      </c>
      <c r="O181" s="213">
        <f>O30</f>
        <v>139.445945945946</v>
      </c>
      <c r="P181" s="213"/>
      <c r="Q181" s="312">
        <f ca="1" t="shared" si="54"/>
        <v>0</v>
      </c>
      <c r="R181" s="312"/>
      <c r="S181" s="213">
        <f ca="1" t="shared" si="55"/>
        <v>-13464</v>
      </c>
      <c r="T181" s="298">
        <f ca="1" t="shared" si="56"/>
        <v>0</v>
      </c>
      <c r="U181" s="313" t="s">
        <v>45</v>
      </c>
    </row>
    <row r="182" s="162" customFormat="1" ht="25" customHeight="1" spans="1:21">
      <c r="A182" s="278" t="str">
        <f>工程量核对表!A181</f>
        <v>（四）</v>
      </c>
      <c r="B182" s="279" t="str">
        <f>工程量核对表!B181</f>
        <v>闸室工程</v>
      </c>
      <c r="C182" s="280"/>
      <c r="D182" s="281"/>
      <c r="E182" s="281"/>
      <c r="F182" s="281"/>
      <c r="G182" s="281"/>
      <c r="H182" s="281"/>
      <c r="I182" s="281"/>
      <c r="J182" s="285"/>
      <c r="K182" s="285"/>
      <c r="L182" s="281">
        <v>1725.56</v>
      </c>
      <c r="M182" s="281"/>
      <c r="N182" s="296"/>
      <c r="O182" s="297"/>
      <c r="P182" s="297"/>
      <c r="Q182" s="310">
        <f ca="1">SUM(Q183:Q191)</f>
        <v>1018.5758368</v>
      </c>
      <c r="R182" s="310"/>
      <c r="S182" s="310">
        <f ca="1">SUM(S183:S191)</f>
        <v>1018.5758368</v>
      </c>
      <c r="T182" s="310">
        <f ca="1">SUM(T183:T191)</f>
        <v>-706.9941632</v>
      </c>
      <c r="U182" s="311"/>
    </row>
    <row r="183" s="162" customFormat="1" ht="25" customHeight="1" spans="1:21">
      <c r="A183" s="208">
        <f>工程量核对表!A182</f>
        <v>1</v>
      </c>
      <c r="B183" s="282" t="str">
        <f>工程量核对表!B182</f>
        <v>土方开挖</v>
      </c>
      <c r="C183" s="210" t="str">
        <f>工程量核对表!C182</f>
        <v>m3</v>
      </c>
      <c r="D183" s="283"/>
      <c r="E183" s="283"/>
      <c r="F183" s="283"/>
      <c r="G183" s="283"/>
      <c r="H183" s="283"/>
      <c r="I183" s="283">
        <v>2.02</v>
      </c>
      <c r="J183" s="284">
        <v>19.7</v>
      </c>
      <c r="K183" s="284"/>
      <c r="L183" s="283">
        <v>39.79</v>
      </c>
      <c r="M183" s="283"/>
      <c r="N183" s="298">
        <f ca="1">工程量核对表!F182</f>
        <v>1.836</v>
      </c>
      <c r="O183" s="213">
        <f>O33</f>
        <v>12.15</v>
      </c>
      <c r="P183" s="213"/>
      <c r="Q183" s="312">
        <f ca="1" t="shared" ref="Q183:Q191" si="57">N183*O183</f>
        <v>22.3074</v>
      </c>
      <c r="R183" s="312"/>
      <c r="S183" s="213">
        <f ca="1" t="shared" ref="S183:S191" si="58">Q183-G183</f>
        <v>22.3074</v>
      </c>
      <c r="T183" s="298">
        <f ca="1" t="shared" ref="T183:T191" si="59">Q183-L183</f>
        <v>-17.4826</v>
      </c>
      <c r="U183" s="313" t="s">
        <v>45</v>
      </c>
    </row>
    <row r="184" s="162" customFormat="1" ht="25" customHeight="1" spans="1:21">
      <c r="A184" s="208">
        <f>工程量核对表!A183</f>
        <v>2</v>
      </c>
      <c r="B184" s="282" t="str">
        <f>工程量核对表!B183</f>
        <v>石方开挖</v>
      </c>
      <c r="C184" s="210" t="str">
        <f>工程量核对表!C183</f>
        <v>m3</v>
      </c>
      <c r="D184" s="283"/>
      <c r="E184" s="283"/>
      <c r="F184" s="283"/>
      <c r="G184" s="283"/>
      <c r="H184" s="283"/>
      <c r="I184" s="283">
        <v>1.35</v>
      </c>
      <c r="J184" s="284">
        <v>57.04</v>
      </c>
      <c r="K184" s="284"/>
      <c r="L184" s="283">
        <v>76.8</v>
      </c>
      <c r="M184" s="283"/>
      <c r="N184" s="298">
        <f ca="1">工程量核对表!F183</f>
        <v>1.224</v>
      </c>
      <c r="O184" s="213">
        <f>O41</f>
        <v>53.28</v>
      </c>
      <c r="P184" s="213"/>
      <c r="Q184" s="312">
        <f ca="1" t="shared" si="57"/>
        <v>65.21472</v>
      </c>
      <c r="R184" s="312"/>
      <c r="S184" s="213">
        <f ca="1" t="shared" si="58"/>
        <v>65.21472</v>
      </c>
      <c r="T184" s="298">
        <f ca="1" t="shared" si="59"/>
        <v>-11.58528</v>
      </c>
      <c r="U184" s="313" t="s">
        <v>45</v>
      </c>
    </row>
    <row r="185" s="162" customFormat="1" ht="25" customHeight="1" spans="1:21">
      <c r="A185" s="208">
        <f>工程量核对表!A184</f>
        <v>3</v>
      </c>
      <c r="B185" s="282" t="str">
        <f>工程量核对表!B184</f>
        <v>土石方回填</v>
      </c>
      <c r="C185" s="210" t="str">
        <f>工程量核对表!C184</f>
        <v>m3</v>
      </c>
      <c r="D185" s="283"/>
      <c r="E185" s="283"/>
      <c r="F185" s="283"/>
      <c r="G185" s="283"/>
      <c r="H185" s="283"/>
      <c r="I185" s="283">
        <v>0.66</v>
      </c>
      <c r="J185" s="284">
        <v>24.9</v>
      </c>
      <c r="K185" s="284"/>
      <c r="L185" s="283">
        <v>16.43</v>
      </c>
      <c r="M185" s="283"/>
      <c r="N185" s="298">
        <f ca="1">工程量核对表!F184</f>
        <v>0.66</v>
      </c>
      <c r="O185" s="213">
        <f>O54</f>
        <v>31.19</v>
      </c>
      <c r="P185" s="213"/>
      <c r="Q185" s="312">
        <f ca="1" t="shared" si="57"/>
        <v>20.5854</v>
      </c>
      <c r="R185" s="312"/>
      <c r="S185" s="213">
        <f ca="1" t="shared" si="58"/>
        <v>20.5854</v>
      </c>
      <c r="T185" s="298">
        <f ca="1" t="shared" si="59"/>
        <v>4.1554</v>
      </c>
      <c r="U185" s="313" t="s">
        <v>45</v>
      </c>
    </row>
    <row r="186" s="162" customFormat="1" ht="25" customHeight="1" spans="1:21">
      <c r="A186" s="208">
        <f>工程量核对表!A185</f>
        <v>4</v>
      </c>
      <c r="B186" s="282" t="str">
        <f>工程量核对表!B185</f>
        <v>C25混凝土底板浇筑</v>
      </c>
      <c r="C186" s="210" t="str">
        <f>工程量核对表!C185</f>
        <v>m3</v>
      </c>
      <c r="D186" s="283"/>
      <c r="E186" s="283"/>
      <c r="F186" s="283"/>
      <c r="G186" s="283"/>
      <c r="H186" s="283"/>
      <c r="I186" s="283">
        <v>0.41</v>
      </c>
      <c r="J186" s="284">
        <v>537.51</v>
      </c>
      <c r="K186" s="284"/>
      <c r="L186" s="283">
        <v>219.3</v>
      </c>
      <c r="M186" s="283"/>
      <c r="N186" s="298">
        <f ca="1">工程量核对表!F185</f>
        <v>0.408</v>
      </c>
      <c r="O186" s="213">
        <f>O34</f>
        <v>452.81</v>
      </c>
      <c r="P186" s="213"/>
      <c r="Q186" s="312">
        <f ca="1" t="shared" si="57"/>
        <v>184.74648</v>
      </c>
      <c r="R186" s="312"/>
      <c r="S186" s="213">
        <f ca="1" t="shared" si="58"/>
        <v>184.74648</v>
      </c>
      <c r="T186" s="298">
        <f ca="1" t="shared" si="59"/>
        <v>-34.55352</v>
      </c>
      <c r="U186" s="313" t="s">
        <v>45</v>
      </c>
    </row>
    <row r="187" s="162" customFormat="1" ht="25" customHeight="1" spans="1:21">
      <c r="A187" s="208">
        <f>工程量核对表!A186</f>
        <v>5</v>
      </c>
      <c r="B187" s="282" t="str">
        <f>工程量核对表!B186</f>
        <v>M7.5砖砌围墙</v>
      </c>
      <c r="C187" s="210" t="str">
        <f>工程量核对表!C186</f>
        <v>m3</v>
      </c>
      <c r="D187" s="283"/>
      <c r="E187" s="283"/>
      <c r="F187" s="283"/>
      <c r="G187" s="283"/>
      <c r="H187" s="283"/>
      <c r="I187" s="283">
        <v>1.58</v>
      </c>
      <c r="J187" s="284">
        <v>582.15</v>
      </c>
      <c r="K187" s="284"/>
      <c r="L187" s="283">
        <v>922.13</v>
      </c>
      <c r="M187" s="283"/>
      <c r="N187" s="298">
        <f ca="1">工程量核对表!F186</f>
        <v>0.94752</v>
      </c>
      <c r="O187" s="213">
        <f>O47</f>
        <v>418.59</v>
      </c>
      <c r="P187" s="213"/>
      <c r="Q187" s="312">
        <f ca="1" t="shared" si="57"/>
        <v>396.6223968</v>
      </c>
      <c r="R187" s="312"/>
      <c r="S187" s="213">
        <f ca="1" t="shared" si="58"/>
        <v>396.6223968</v>
      </c>
      <c r="T187" s="298">
        <f ca="1" t="shared" si="59"/>
        <v>-525.5076032</v>
      </c>
      <c r="U187" s="313" t="s">
        <v>45</v>
      </c>
    </row>
    <row r="188" s="162" customFormat="1" ht="25" customHeight="1" spans="1:21">
      <c r="A188" s="208">
        <f>工程量核对表!A187</f>
        <v>6</v>
      </c>
      <c r="B188" s="282" t="str">
        <f>工程量核对表!B187</f>
        <v>M10沙浆抹面</v>
      </c>
      <c r="C188" s="210" t="str">
        <f>工程量核对表!C187</f>
        <v>m2</v>
      </c>
      <c r="D188" s="283"/>
      <c r="E188" s="283"/>
      <c r="F188" s="283"/>
      <c r="G188" s="283"/>
      <c r="H188" s="283"/>
      <c r="I188" s="283">
        <v>7.68</v>
      </c>
      <c r="J188" s="284">
        <v>17.05</v>
      </c>
      <c r="K188" s="284"/>
      <c r="L188" s="283">
        <v>130.86</v>
      </c>
      <c r="M188" s="283"/>
      <c r="N188" s="298">
        <f ca="1">工程量核对表!F187</f>
        <v>6.2712</v>
      </c>
      <c r="O188" s="213">
        <f>O39</f>
        <v>11.93</v>
      </c>
      <c r="P188" s="213"/>
      <c r="Q188" s="312">
        <f ca="1" t="shared" si="57"/>
        <v>74.815416</v>
      </c>
      <c r="R188" s="312"/>
      <c r="S188" s="213">
        <f ca="1" t="shared" si="58"/>
        <v>74.815416</v>
      </c>
      <c r="T188" s="298">
        <f ca="1" t="shared" si="59"/>
        <v>-56.044584</v>
      </c>
      <c r="U188" s="313" t="s">
        <v>45</v>
      </c>
    </row>
    <row r="189" s="162" customFormat="1" ht="25" customHeight="1" spans="1:21">
      <c r="A189" s="208" t="str">
        <f>工程量核对表!A188</f>
        <v>新增</v>
      </c>
      <c r="B189" s="282" t="str">
        <f>工程量核对表!B188</f>
        <v>C25混凝土顶板浇筑</v>
      </c>
      <c r="C189" s="210" t="str">
        <f>工程量核对表!C188</f>
        <v>m3</v>
      </c>
      <c r="D189" s="283"/>
      <c r="E189" s="283"/>
      <c r="F189" s="283"/>
      <c r="G189" s="283"/>
      <c r="H189" s="283"/>
      <c r="I189" s="283">
        <v>0.19</v>
      </c>
      <c r="J189" s="284">
        <v>592.81</v>
      </c>
      <c r="K189" s="284"/>
      <c r="L189" s="283">
        <v>112.87</v>
      </c>
      <c r="M189" s="283"/>
      <c r="N189" s="298">
        <f ca="1">工程量核对表!F188</f>
        <v>0.136</v>
      </c>
      <c r="O189" s="213">
        <f>O34</f>
        <v>452.81</v>
      </c>
      <c r="P189" s="213"/>
      <c r="Q189" s="312">
        <f ca="1" t="shared" si="57"/>
        <v>61.58216</v>
      </c>
      <c r="R189" s="312"/>
      <c r="S189" s="213">
        <f ca="1" t="shared" si="58"/>
        <v>61.58216</v>
      </c>
      <c r="T189" s="298">
        <f ca="1" t="shared" si="59"/>
        <v>-51.28784</v>
      </c>
      <c r="U189" s="313" t="s">
        <v>45</v>
      </c>
    </row>
    <row r="190" s="162" customFormat="1" ht="25" customHeight="1" spans="1:21">
      <c r="A190" s="208" t="str">
        <f>工程量核对表!A189</f>
        <v>新增</v>
      </c>
      <c r="B190" s="282" t="str">
        <f>工程量核对表!B189</f>
        <v>木模制安</v>
      </c>
      <c r="C190" s="210" t="str">
        <f>工程量核对表!C189</f>
        <v>m2</v>
      </c>
      <c r="D190" s="283"/>
      <c r="E190" s="283"/>
      <c r="F190" s="283"/>
      <c r="G190" s="283"/>
      <c r="H190" s="283"/>
      <c r="I190" s="283">
        <v>1.83</v>
      </c>
      <c r="J190" s="284">
        <v>58.41</v>
      </c>
      <c r="K190" s="284"/>
      <c r="L190" s="283">
        <v>106.8</v>
      </c>
      <c r="M190" s="283"/>
      <c r="N190" s="298">
        <f ca="1">工程量核对表!F189</f>
        <v>0.33</v>
      </c>
      <c r="O190" s="213">
        <f>O37</f>
        <v>59.86</v>
      </c>
      <c r="P190" s="213"/>
      <c r="Q190" s="312">
        <f ca="1" t="shared" si="57"/>
        <v>19.7538</v>
      </c>
      <c r="R190" s="312"/>
      <c r="S190" s="213">
        <f ca="1" t="shared" si="58"/>
        <v>19.7538</v>
      </c>
      <c r="T190" s="298">
        <f ca="1" t="shared" si="59"/>
        <v>-87.0462</v>
      </c>
      <c r="U190" s="313" t="s">
        <v>45</v>
      </c>
    </row>
    <row r="191" s="162" customFormat="1" ht="25" customHeight="1" spans="1:21">
      <c r="A191" s="208" t="str">
        <f>工程量核对表!A190</f>
        <v>新增</v>
      </c>
      <c r="B191" s="282" t="str">
        <f>工程量核对表!B190</f>
        <v>钢筋制安</v>
      </c>
      <c r="C191" s="210" t="s">
        <v>57</v>
      </c>
      <c r="D191" s="283"/>
      <c r="E191" s="283"/>
      <c r="F191" s="283"/>
      <c r="G191" s="283"/>
      <c r="H191" s="283"/>
      <c r="I191" s="283">
        <v>0.02</v>
      </c>
      <c r="J191" s="284">
        <v>6596.11</v>
      </c>
      <c r="K191" s="284"/>
      <c r="L191" s="283">
        <v>100.59</v>
      </c>
      <c r="M191" s="283"/>
      <c r="N191" s="298">
        <f ca="1">工程量核对表!F190/1000</f>
        <v>0.0292142</v>
      </c>
      <c r="O191" s="213">
        <f>O38</f>
        <v>5920</v>
      </c>
      <c r="P191" s="213"/>
      <c r="Q191" s="312">
        <f ca="1" t="shared" si="57"/>
        <v>172.948064</v>
      </c>
      <c r="R191" s="312"/>
      <c r="S191" s="213">
        <f ca="1" t="shared" si="58"/>
        <v>172.948064</v>
      </c>
      <c r="T191" s="298">
        <f ca="1" t="shared" si="59"/>
        <v>72.358064</v>
      </c>
      <c r="U191" s="313" t="s">
        <v>58</v>
      </c>
    </row>
    <row r="192" s="162" customFormat="1" ht="25" customHeight="1" spans="1:21">
      <c r="A192" s="278" t="str">
        <f>工程量核对表!A191</f>
        <v>（五）</v>
      </c>
      <c r="B192" s="279" t="str">
        <f>工程量核对表!B191</f>
        <v>建筑材料人力二次运输</v>
      </c>
      <c r="C192" s="280"/>
      <c r="D192" s="281"/>
      <c r="E192" s="281"/>
      <c r="F192" s="281"/>
      <c r="G192" s="281"/>
      <c r="H192" s="281"/>
      <c r="I192" s="281"/>
      <c r="J192" s="285"/>
      <c r="K192" s="285"/>
      <c r="L192" s="281">
        <v>5250.34</v>
      </c>
      <c r="M192" s="281"/>
      <c r="N192" s="296"/>
      <c r="O192" s="297"/>
      <c r="P192" s="297"/>
      <c r="Q192" s="310">
        <f ca="1">SUM(Q193:Q199)</f>
        <v>674.870779050106</v>
      </c>
      <c r="R192" s="310"/>
      <c r="S192" s="310">
        <f ca="1" t="shared" ref="Q192:T192" si="60">SUM(S193:S199)</f>
        <v>674.870779050106</v>
      </c>
      <c r="T192" s="310">
        <f ca="1" t="shared" si="60"/>
        <v>-4575.46922094989</v>
      </c>
      <c r="U192" s="311"/>
    </row>
    <row r="193" s="162" customFormat="1" ht="25" customHeight="1" spans="1:21">
      <c r="A193" s="208">
        <f>工程量核对表!A192</f>
        <v>1</v>
      </c>
      <c r="B193" s="282" t="str">
        <f>工程量核对表!B192</f>
        <v>人力二次转运材料100米</v>
      </c>
      <c r="C193" s="210" t="str">
        <f>工程量核对表!C192</f>
        <v>t/km</v>
      </c>
      <c r="D193" s="283"/>
      <c r="E193" s="283"/>
      <c r="F193" s="283"/>
      <c r="G193" s="283"/>
      <c r="H193" s="283"/>
      <c r="I193" s="283"/>
      <c r="J193" s="284"/>
      <c r="K193" s="284"/>
      <c r="L193" s="283"/>
      <c r="M193" s="283"/>
      <c r="N193" s="298">
        <f>工程量核对表!F192</f>
        <v>0</v>
      </c>
      <c r="O193" s="213">
        <f>E193</f>
        <v>0</v>
      </c>
      <c r="P193" s="213"/>
      <c r="Q193" s="312"/>
      <c r="R193" s="312"/>
      <c r="S193" s="213">
        <f>Q193-G193</f>
        <v>0</v>
      </c>
      <c r="T193" s="298">
        <f>Q193-L193</f>
        <v>0</v>
      </c>
      <c r="U193" s="313" t="s">
        <v>69</v>
      </c>
    </row>
    <row r="194" s="162" customFormat="1" ht="25" customHeight="1" spans="1:21">
      <c r="A194" s="208">
        <f>工程量核对表!A193</f>
        <v>2</v>
      </c>
      <c r="B194" s="282" t="str">
        <f>工程量核对表!B193</f>
        <v>水泥</v>
      </c>
      <c r="C194" s="210" t="str">
        <f>工程量核对表!C193</f>
        <v>t</v>
      </c>
      <c r="D194" s="283"/>
      <c r="E194" s="283"/>
      <c r="F194" s="283"/>
      <c r="G194" s="283"/>
      <c r="H194" s="283"/>
      <c r="I194" s="283">
        <v>13.49</v>
      </c>
      <c r="J194" s="284">
        <v>50</v>
      </c>
      <c r="K194" s="284"/>
      <c r="L194" s="283">
        <v>674.63</v>
      </c>
      <c r="M194" s="283"/>
      <c r="N194" s="298">
        <f ca="1">工程量核对表!F193</f>
        <v>8.342622739908</v>
      </c>
      <c r="O194" s="213">
        <f>O195*0.915</f>
        <v>12.9198</v>
      </c>
      <c r="P194" s="213"/>
      <c r="Q194" s="312">
        <f ca="1" t="shared" ref="Q194:Q199" si="61">N194*O194</f>
        <v>107.785017275063</v>
      </c>
      <c r="R194" s="312"/>
      <c r="S194" s="213">
        <f ca="1" t="shared" ref="S194:S199" si="62">Q194-G194</f>
        <v>107.785017275063</v>
      </c>
      <c r="T194" s="298">
        <f ca="1" t="shared" ref="T194:T199" si="63">Q194-L194</f>
        <v>-566.844982724937</v>
      </c>
      <c r="U194" s="313"/>
    </row>
    <row r="195" s="162" customFormat="1" ht="25" customHeight="1" spans="1:21">
      <c r="A195" s="208">
        <f>工程量核对表!A194</f>
        <v>3</v>
      </c>
      <c r="B195" s="282" t="str">
        <f>工程量核对表!B194</f>
        <v>砂</v>
      </c>
      <c r="C195" s="210" t="str">
        <f>工程量核对表!C194</f>
        <v>m3</v>
      </c>
      <c r="D195" s="283"/>
      <c r="E195" s="283"/>
      <c r="F195" s="283"/>
      <c r="G195" s="283"/>
      <c r="H195" s="283"/>
      <c r="I195" s="283">
        <v>20.59</v>
      </c>
      <c r="J195" s="284">
        <v>80</v>
      </c>
      <c r="K195" s="284"/>
      <c r="L195" s="283">
        <v>1647.26</v>
      </c>
      <c r="M195" s="283"/>
      <c r="N195" s="298">
        <f ca="1">工程量核对表!F194</f>
        <v>12.79654972</v>
      </c>
      <c r="O195" s="213">
        <v>14.12</v>
      </c>
      <c r="P195" s="213"/>
      <c r="Q195" s="312">
        <f ca="1" t="shared" si="61"/>
        <v>180.6872820464</v>
      </c>
      <c r="R195" s="312"/>
      <c r="S195" s="213">
        <f ca="1" t="shared" si="62"/>
        <v>180.6872820464</v>
      </c>
      <c r="T195" s="298">
        <f ca="1" t="shared" si="63"/>
        <v>-1466.5727179536</v>
      </c>
      <c r="U195" s="313"/>
    </row>
    <row r="196" s="162" customFormat="1" ht="25" customHeight="1" spans="1:21">
      <c r="A196" s="208">
        <f>工程量核对表!A195</f>
        <v>4</v>
      </c>
      <c r="B196" s="282" t="str">
        <f>工程量核对表!B195</f>
        <v>碎石</v>
      </c>
      <c r="C196" s="210" t="str">
        <f>工程量核对表!C195</f>
        <v>m3</v>
      </c>
      <c r="D196" s="283"/>
      <c r="E196" s="283"/>
      <c r="F196" s="283"/>
      <c r="G196" s="283"/>
      <c r="H196" s="283"/>
      <c r="I196" s="283">
        <v>29.42</v>
      </c>
      <c r="J196" s="284">
        <v>85</v>
      </c>
      <c r="K196" s="284"/>
      <c r="L196" s="283">
        <v>2501.07</v>
      </c>
      <c r="M196" s="283"/>
      <c r="N196" s="298">
        <f ca="1">工程量核对表!F195</f>
        <v>19.179932768</v>
      </c>
      <c r="O196" s="213">
        <v>15.24</v>
      </c>
      <c r="P196" s="213"/>
      <c r="Q196" s="312">
        <f ca="1" t="shared" si="61"/>
        <v>292.30217538432</v>
      </c>
      <c r="R196" s="312"/>
      <c r="S196" s="213">
        <f ca="1" t="shared" si="62"/>
        <v>292.30217538432</v>
      </c>
      <c r="T196" s="298">
        <f ca="1" t="shared" si="63"/>
        <v>-2208.76782461568</v>
      </c>
      <c r="U196" s="313"/>
    </row>
    <row r="197" s="162" customFormat="1" ht="25" customHeight="1" spans="1:21">
      <c r="A197" s="208">
        <f>工程量核对表!A196</f>
        <v>5</v>
      </c>
      <c r="B197" s="282" t="str">
        <f>工程量核对表!B196</f>
        <v>页岩砖</v>
      </c>
      <c r="C197" s="210" t="str">
        <f>工程量核对表!C196</f>
        <v>千匹</v>
      </c>
      <c r="D197" s="283"/>
      <c r="E197" s="283"/>
      <c r="F197" s="283"/>
      <c r="G197" s="283"/>
      <c r="H197" s="283"/>
      <c r="I197" s="283">
        <v>2.83</v>
      </c>
      <c r="J197" s="284">
        <v>125</v>
      </c>
      <c r="K197" s="284"/>
      <c r="L197" s="283">
        <v>353.4</v>
      </c>
      <c r="M197" s="283"/>
      <c r="N197" s="298">
        <f ca="1">工程量核对表!F196</f>
        <v>2.91324768</v>
      </c>
      <c r="O197" s="213">
        <f>O195*1.854</f>
        <v>26.17848</v>
      </c>
      <c r="P197" s="213"/>
      <c r="Q197" s="312">
        <f ca="1" t="shared" si="61"/>
        <v>76.2643961259264</v>
      </c>
      <c r="R197" s="312"/>
      <c r="S197" s="213">
        <f ca="1" t="shared" si="62"/>
        <v>76.2643961259264</v>
      </c>
      <c r="T197" s="298">
        <f ca="1" t="shared" si="63"/>
        <v>-277.135603874074</v>
      </c>
      <c r="U197" s="313"/>
    </row>
    <row r="198" s="162" customFormat="1" ht="25" customHeight="1" spans="1:21">
      <c r="A198" s="208">
        <f>工程量核对表!A197</f>
        <v>6</v>
      </c>
      <c r="B198" s="282" t="str">
        <f>工程量核对表!B197</f>
        <v>钢筋</v>
      </c>
      <c r="C198" s="210" t="str">
        <f>工程量核对表!C197</f>
        <v>t</v>
      </c>
      <c r="D198" s="283"/>
      <c r="E198" s="283"/>
      <c r="F198" s="283"/>
      <c r="G198" s="283"/>
      <c r="H198" s="283"/>
      <c r="I198" s="283">
        <v>1.48</v>
      </c>
      <c r="J198" s="284">
        <v>50</v>
      </c>
      <c r="K198" s="284"/>
      <c r="L198" s="283">
        <v>73.98</v>
      </c>
      <c r="M198" s="283"/>
      <c r="N198" s="298">
        <f ca="1">工程量核对表!F197</f>
        <v>1.38020002</v>
      </c>
      <c r="O198" s="213">
        <f>O194</f>
        <v>12.9198</v>
      </c>
      <c r="P198" s="213"/>
      <c r="Q198" s="312">
        <f ca="1" t="shared" si="61"/>
        <v>17.831908218396</v>
      </c>
      <c r="R198" s="312"/>
      <c r="S198" s="213">
        <f ca="1" t="shared" si="62"/>
        <v>17.831908218396</v>
      </c>
      <c r="T198" s="298">
        <f ca="1" t="shared" si="63"/>
        <v>-56.148091781604</v>
      </c>
      <c r="U198" s="313"/>
    </row>
    <row r="199" s="162" customFormat="1" ht="25" customHeight="1" spans="1:21">
      <c r="A199" s="208">
        <f>工程量核对表!A198</f>
        <v>7</v>
      </c>
      <c r="B199" s="282" t="str">
        <f>工程量核对表!B198</f>
        <v>块石</v>
      </c>
      <c r="C199" s="210" t="str">
        <f>工程量核对表!C198</f>
        <v>m3</v>
      </c>
      <c r="D199" s="283"/>
      <c r="E199" s="283"/>
      <c r="F199" s="283"/>
      <c r="G199" s="283"/>
      <c r="H199" s="283"/>
      <c r="I199" s="283"/>
      <c r="J199" s="284"/>
      <c r="K199" s="284"/>
      <c r="L199" s="283"/>
      <c r="M199" s="283"/>
      <c r="N199" s="298">
        <f ca="1">工程量核对表!F198</f>
        <v>14.40198</v>
      </c>
      <c r="O199" s="213"/>
      <c r="P199" s="213"/>
      <c r="Q199" s="312">
        <f ca="1" t="shared" si="61"/>
        <v>0</v>
      </c>
      <c r="R199" s="312"/>
      <c r="S199" s="213">
        <f ca="1" t="shared" si="62"/>
        <v>0</v>
      </c>
      <c r="T199" s="298">
        <f ca="1" t="shared" si="63"/>
        <v>0</v>
      </c>
      <c r="U199" s="313"/>
    </row>
    <row r="200" s="162" customFormat="1" ht="25" customHeight="1" spans="1:21">
      <c r="A200" s="274" t="str">
        <f>工程量核对表!A199</f>
        <v>四</v>
      </c>
      <c r="B200" s="275" t="str">
        <f>工程量核对表!B199</f>
        <v>张家梁供水工程</v>
      </c>
      <c r="C200" s="276"/>
      <c r="D200" s="277"/>
      <c r="E200" s="277"/>
      <c r="F200" s="277"/>
      <c r="G200" s="277"/>
      <c r="H200" s="277"/>
      <c r="I200" s="277"/>
      <c r="J200" s="293"/>
      <c r="K200" s="293"/>
      <c r="L200" s="277">
        <v>66631.95</v>
      </c>
      <c r="M200" s="277"/>
      <c r="N200" s="294"/>
      <c r="O200" s="295"/>
      <c r="P200" s="295"/>
      <c r="Q200" s="308">
        <f ca="1">Q222+Q201+Q242+Q233+Q247</f>
        <v>39987.0257968161</v>
      </c>
      <c r="R200" s="308"/>
      <c r="S200" s="308">
        <f ca="1" t="shared" ref="Q200:T200" si="64">S222+S201+S242+S233+S247</f>
        <v>39987.0257968161</v>
      </c>
      <c r="T200" s="308">
        <f ca="1" t="shared" si="64"/>
        <v>-26644.9342031839</v>
      </c>
      <c r="U200" s="309"/>
    </row>
    <row r="201" s="162" customFormat="1" ht="25" customHeight="1" spans="1:21">
      <c r="A201" s="278" t="str">
        <f>工程量核对表!A200</f>
        <v>（一）</v>
      </c>
      <c r="B201" s="279" t="str">
        <f>工程量核对表!B200</f>
        <v>蓄水池工程（Ф=5.5m，H=3.2m）</v>
      </c>
      <c r="C201" s="280"/>
      <c r="D201" s="281"/>
      <c r="E201" s="281"/>
      <c r="F201" s="281"/>
      <c r="G201" s="281"/>
      <c r="H201" s="281"/>
      <c r="I201" s="281"/>
      <c r="J201" s="285"/>
      <c r="K201" s="285"/>
      <c r="L201" s="281">
        <v>32696.38</v>
      </c>
      <c r="M201" s="281"/>
      <c r="N201" s="296"/>
      <c r="O201" s="297"/>
      <c r="P201" s="297"/>
      <c r="Q201" s="310">
        <f ca="1">SUM(Q202:Q221)</f>
        <v>35080.4844761718</v>
      </c>
      <c r="R201" s="310"/>
      <c r="S201" s="310">
        <f ca="1">SUM(S202:S221)</f>
        <v>35080.4844761718</v>
      </c>
      <c r="T201" s="310">
        <f ca="1">SUM(T202:T221)</f>
        <v>2384.11447617179</v>
      </c>
      <c r="U201" s="311"/>
    </row>
    <row r="202" s="162" customFormat="1" ht="25" customHeight="1" spans="1:21">
      <c r="A202" s="208">
        <f>工程量核对表!A201</f>
        <v>1</v>
      </c>
      <c r="B202" s="282" t="str">
        <f>工程量核对表!B201</f>
        <v>土方开挖</v>
      </c>
      <c r="C202" s="210" t="str">
        <f>工程量核对表!C201</f>
        <v>m3</v>
      </c>
      <c r="D202" s="283"/>
      <c r="E202" s="283"/>
      <c r="F202" s="283"/>
      <c r="G202" s="283"/>
      <c r="H202" s="283"/>
      <c r="I202" s="283">
        <v>63.16</v>
      </c>
      <c r="J202" s="284">
        <v>19.7</v>
      </c>
      <c r="K202" s="284"/>
      <c r="L202" s="283">
        <v>1244.24</v>
      </c>
      <c r="M202" s="283"/>
      <c r="N202" s="298">
        <f ca="1">工程量核对表!F201</f>
        <v>51.04833648</v>
      </c>
      <c r="O202" s="213">
        <f>O33</f>
        <v>12.15</v>
      </c>
      <c r="P202" s="213"/>
      <c r="Q202" s="312">
        <f ca="1" t="shared" ref="Q202:Q211" si="65">N202*O202</f>
        <v>620.237288232</v>
      </c>
      <c r="R202" s="312"/>
      <c r="S202" s="213">
        <f ca="1" t="shared" ref="S202:S221" si="66">Q202-G202</f>
        <v>620.237288232</v>
      </c>
      <c r="T202" s="298">
        <f ca="1" t="shared" ref="T202:T221" si="67">Q202-L202</f>
        <v>-624.002711768</v>
      </c>
      <c r="U202" s="313" t="s">
        <v>45</v>
      </c>
    </row>
    <row r="203" s="162" customFormat="1" ht="25" customHeight="1" spans="1:21">
      <c r="A203" s="208">
        <f>工程量核对表!A202</f>
        <v>2</v>
      </c>
      <c r="B203" s="282" t="str">
        <f>工程量核对表!B202</f>
        <v>石方开挖</v>
      </c>
      <c r="C203" s="210" t="str">
        <f>工程量核对表!C202</f>
        <v>m3</v>
      </c>
      <c r="D203" s="283"/>
      <c r="E203" s="283"/>
      <c r="F203" s="283"/>
      <c r="G203" s="283"/>
      <c r="H203" s="283"/>
      <c r="I203" s="283">
        <v>42.11</v>
      </c>
      <c r="J203" s="284">
        <v>57.04</v>
      </c>
      <c r="K203" s="284"/>
      <c r="L203" s="283">
        <v>2401.73</v>
      </c>
      <c r="M203" s="283"/>
      <c r="N203" s="298">
        <f ca="1">工程量核对表!F202</f>
        <v>34.03222432</v>
      </c>
      <c r="O203" s="213">
        <f>O41</f>
        <v>53.28</v>
      </c>
      <c r="P203" s="213"/>
      <c r="Q203" s="312">
        <f ca="1" t="shared" si="65"/>
        <v>1813.2369117696</v>
      </c>
      <c r="R203" s="312"/>
      <c r="S203" s="213">
        <f ca="1" t="shared" si="66"/>
        <v>1813.2369117696</v>
      </c>
      <c r="T203" s="298">
        <f ca="1" t="shared" si="67"/>
        <v>-588.4930882304</v>
      </c>
      <c r="U203" s="313" t="s">
        <v>45</v>
      </c>
    </row>
    <row r="204" s="162" customFormat="1" ht="25" customHeight="1" spans="1:21">
      <c r="A204" s="208">
        <f>工程量核对表!A203</f>
        <v>3</v>
      </c>
      <c r="B204" s="282" t="str">
        <f>工程量核对表!B203</f>
        <v>土石方回填</v>
      </c>
      <c r="C204" s="210" t="str">
        <f>工程量核对表!C203</f>
        <v>m3</v>
      </c>
      <c r="D204" s="283"/>
      <c r="E204" s="283"/>
      <c r="F204" s="283"/>
      <c r="G204" s="283"/>
      <c r="H204" s="283"/>
      <c r="I204" s="283">
        <v>25.91</v>
      </c>
      <c r="J204" s="284">
        <v>24.9</v>
      </c>
      <c r="K204" s="284"/>
      <c r="L204" s="283">
        <v>645.03</v>
      </c>
      <c r="M204" s="283"/>
      <c r="N204" s="298">
        <f ca="1">工程量核对表!F203</f>
        <v>25.8108</v>
      </c>
      <c r="O204" s="213">
        <f>O42</f>
        <v>12.18</v>
      </c>
      <c r="P204" s="213"/>
      <c r="Q204" s="312">
        <f ca="1" t="shared" si="65"/>
        <v>314.375544</v>
      </c>
      <c r="R204" s="312"/>
      <c r="S204" s="213">
        <f ca="1" t="shared" si="66"/>
        <v>314.375544</v>
      </c>
      <c r="T204" s="298">
        <f ca="1" t="shared" si="67"/>
        <v>-330.654456</v>
      </c>
      <c r="U204" s="313" t="s">
        <v>45</v>
      </c>
    </row>
    <row r="205" s="162" customFormat="1" ht="25" customHeight="1" spans="1:21">
      <c r="A205" s="215">
        <f>工程量核对表!A204</f>
        <v>4</v>
      </c>
      <c r="B205" s="282" t="str">
        <f>工程量核对表!B204</f>
        <v>C25砼 2级配 32.5水泥 粒径40mm（底板）</v>
      </c>
      <c r="C205" s="210" t="str">
        <f>工程量核对表!C204</f>
        <v>m3</v>
      </c>
      <c r="D205" s="283"/>
      <c r="E205" s="283"/>
      <c r="F205" s="283"/>
      <c r="G205" s="283"/>
      <c r="H205" s="283"/>
      <c r="I205" s="283">
        <v>3.83</v>
      </c>
      <c r="J205" s="284">
        <v>537.51</v>
      </c>
      <c r="K205" s="284"/>
      <c r="L205" s="283">
        <v>2056.35</v>
      </c>
      <c r="M205" s="283"/>
      <c r="N205" s="298">
        <f ca="1">工程量核对表!F204</f>
        <v>2.5325984</v>
      </c>
      <c r="O205" s="213">
        <f>O34</f>
        <v>452.81</v>
      </c>
      <c r="P205" s="213"/>
      <c r="Q205" s="312">
        <f ca="1" t="shared" si="65"/>
        <v>1146.785881504</v>
      </c>
      <c r="R205" s="312"/>
      <c r="S205" s="213">
        <f ca="1" t="shared" si="66"/>
        <v>1146.785881504</v>
      </c>
      <c r="T205" s="298">
        <f ca="1" t="shared" si="67"/>
        <v>-909.564118496</v>
      </c>
      <c r="U205" s="313" t="s">
        <v>45</v>
      </c>
    </row>
    <row r="206" s="162" customFormat="1" ht="25" customHeight="1" spans="1:21">
      <c r="A206" s="217"/>
      <c r="B206" s="282" t="str">
        <f>工程量核对表!B205</f>
        <v>C25砼 2级配 32.5水泥 粒径40mm（含顶板、梁）</v>
      </c>
      <c r="C206" s="210" t="str">
        <f>工程量核对表!C205</f>
        <v>m3</v>
      </c>
      <c r="D206" s="283"/>
      <c r="E206" s="283"/>
      <c r="F206" s="283"/>
      <c r="G206" s="283"/>
      <c r="H206" s="283"/>
      <c r="I206" s="283">
        <v>3.51</v>
      </c>
      <c r="J206" s="284">
        <v>592.81</v>
      </c>
      <c r="K206" s="284"/>
      <c r="L206" s="283">
        <v>2080.5</v>
      </c>
      <c r="M206" s="283"/>
      <c r="N206" s="298">
        <f ca="1">工程量核对表!F205</f>
        <v>2.2715864</v>
      </c>
      <c r="O206" s="213">
        <f>O34</f>
        <v>452.81</v>
      </c>
      <c r="P206" s="213"/>
      <c r="Q206" s="312">
        <f ca="1" t="shared" si="65"/>
        <v>1028.597037784</v>
      </c>
      <c r="R206" s="312"/>
      <c r="S206" s="213">
        <f ca="1" t="shared" si="66"/>
        <v>1028.597037784</v>
      </c>
      <c r="T206" s="298">
        <f ca="1" t="shared" si="67"/>
        <v>-1051.902962216</v>
      </c>
      <c r="U206" s="313" t="s">
        <v>45</v>
      </c>
    </row>
    <row r="207" s="162" customFormat="1" ht="25" customHeight="1" spans="1:21">
      <c r="A207" s="208">
        <f>工程量核对表!A206</f>
        <v>5</v>
      </c>
      <c r="B207" s="282" t="str">
        <f>工程量核对表!B206</f>
        <v>M7.5砌砖</v>
      </c>
      <c r="C207" s="210" t="str">
        <f>工程量核对表!C206</f>
        <v>m3</v>
      </c>
      <c r="D207" s="283"/>
      <c r="E207" s="283"/>
      <c r="F207" s="283"/>
      <c r="G207" s="283"/>
      <c r="H207" s="283"/>
      <c r="I207" s="283">
        <v>12.55</v>
      </c>
      <c r="J207" s="284">
        <v>582.15</v>
      </c>
      <c r="K207" s="284"/>
      <c r="L207" s="283">
        <v>7306.42</v>
      </c>
      <c r="M207" s="283"/>
      <c r="N207" s="298">
        <f ca="1">工程量核对表!F206</f>
        <v>12.00454656</v>
      </c>
      <c r="O207" s="213">
        <f>O16</f>
        <v>418.59</v>
      </c>
      <c r="P207" s="213"/>
      <c r="Q207" s="312">
        <f ca="1" t="shared" si="65"/>
        <v>5024.9831445504</v>
      </c>
      <c r="R207" s="312"/>
      <c r="S207" s="213">
        <f ca="1" t="shared" si="66"/>
        <v>5024.9831445504</v>
      </c>
      <c r="T207" s="298">
        <f ca="1" t="shared" si="67"/>
        <v>-2281.4368554496</v>
      </c>
      <c r="U207" s="313" t="s">
        <v>45</v>
      </c>
    </row>
    <row r="208" s="162" customFormat="1" ht="25" customHeight="1" spans="1:21">
      <c r="A208" s="208">
        <f>工程量核对表!A207</f>
        <v>6</v>
      </c>
      <c r="B208" s="282" t="str">
        <f>工程量核对表!B207</f>
        <v>木模制安</v>
      </c>
      <c r="C208" s="210" t="str">
        <f>工程量核对表!C207</f>
        <v>m2</v>
      </c>
      <c r="D208" s="283"/>
      <c r="E208" s="283"/>
      <c r="F208" s="283"/>
      <c r="G208" s="283"/>
      <c r="H208" s="283"/>
      <c r="I208" s="283">
        <v>26.25</v>
      </c>
      <c r="J208" s="284">
        <v>58.41</v>
      </c>
      <c r="K208" s="284"/>
      <c r="L208" s="283">
        <v>1533.54</v>
      </c>
      <c r="M208" s="283"/>
      <c r="N208" s="298">
        <f ca="1">工程量核对表!F207</f>
        <v>19.315</v>
      </c>
      <c r="O208" s="213">
        <f>O37</f>
        <v>59.86</v>
      </c>
      <c r="P208" s="213"/>
      <c r="Q208" s="312">
        <f ca="1" t="shared" si="65"/>
        <v>1156.1959</v>
      </c>
      <c r="R208" s="312"/>
      <c r="S208" s="213">
        <f ca="1" t="shared" si="66"/>
        <v>1156.1959</v>
      </c>
      <c r="T208" s="298">
        <f ca="1" t="shared" si="67"/>
        <v>-377.3441</v>
      </c>
      <c r="U208" s="313" t="s">
        <v>45</v>
      </c>
    </row>
    <row r="209" s="162" customFormat="1" ht="25" customHeight="1" spans="1:21">
      <c r="A209" s="208">
        <f>工程量核对表!A208</f>
        <v>7</v>
      </c>
      <c r="B209" s="282" t="str">
        <f>工程量核对表!B208</f>
        <v>钢筋制安</v>
      </c>
      <c r="C209" s="210" t="s">
        <v>57</v>
      </c>
      <c r="D209" s="283"/>
      <c r="E209" s="283"/>
      <c r="F209" s="283"/>
      <c r="G209" s="283"/>
      <c r="H209" s="283"/>
      <c r="I209" s="283">
        <v>0.72</v>
      </c>
      <c r="J209" s="284">
        <v>6596.11</v>
      </c>
      <c r="K209" s="284"/>
      <c r="L209" s="283">
        <v>4749.2</v>
      </c>
      <c r="M209" s="283"/>
      <c r="N209" s="298">
        <f ca="1">工程量核对表!F208/1000</f>
        <v>0.49430338</v>
      </c>
      <c r="O209" s="213">
        <f>O38</f>
        <v>5920</v>
      </c>
      <c r="P209" s="213"/>
      <c r="Q209" s="312">
        <f ca="1" t="shared" si="65"/>
        <v>2926.2760096</v>
      </c>
      <c r="R209" s="312"/>
      <c r="S209" s="213">
        <f ca="1" t="shared" si="66"/>
        <v>2926.2760096</v>
      </c>
      <c r="T209" s="298">
        <f ca="1" t="shared" si="67"/>
        <v>-1822.9239904</v>
      </c>
      <c r="U209" s="313" t="s">
        <v>58</v>
      </c>
    </row>
    <row r="210" s="162" customFormat="1" ht="25" customHeight="1" spans="1:21">
      <c r="A210" s="208">
        <f>工程量核对表!A209</f>
        <v>8</v>
      </c>
      <c r="B210" s="282" t="str">
        <f>工程量核对表!B209</f>
        <v>M10沙浆抹面</v>
      </c>
      <c r="C210" s="210" t="str">
        <f>工程量核对表!C209</f>
        <v>m2</v>
      </c>
      <c r="D210" s="283"/>
      <c r="E210" s="283"/>
      <c r="F210" s="283"/>
      <c r="G210" s="283"/>
      <c r="H210" s="283"/>
      <c r="I210" s="283">
        <v>113.81</v>
      </c>
      <c r="J210" s="284">
        <v>17.05</v>
      </c>
      <c r="K210" s="284"/>
      <c r="L210" s="283">
        <v>1940.5</v>
      </c>
      <c r="M210" s="283"/>
      <c r="N210" s="298">
        <f ca="1">工程量核对表!F209</f>
        <v>65.36538</v>
      </c>
      <c r="O210" s="213">
        <f>O39</f>
        <v>11.93</v>
      </c>
      <c r="P210" s="213"/>
      <c r="Q210" s="312">
        <f ca="1" t="shared" si="65"/>
        <v>779.8089834</v>
      </c>
      <c r="R210" s="312"/>
      <c r="S210" s="213">
        <f ca="1" t="shared" si="66"/>
        <v>779.8089834</v>
      </c>
      <c r="T210" s="298">
        <f ca="1" t="shared" si="67"/>
        <v>-1160.6910166</v>
      </c>
      <c r="U210" s="313" t="s">
        <v>45</v>
      </c>
    </row>
    <row r="211" s="162" customFormat="1" ht="25" customHeight="1" spans="1:21">
      <c r="A211" s="208">
        <f>工程量核对表!A210</f>
        <v>9</v>
      </c>
      <c r="B211" s="282" t="str">
        <f>工程量核对表!B210</f>
        <v>M10沙浆抹面瓷砖粘贴</v>
      </c>
      <c r="C211" s="210" t="str">
        <f>工程量核对表!C210</f>
        <v>m2</v>
      </c>
      <c r="D211" s="283"/>
      <c r="E211" s="283"/>
      <c r="F211" s="283"/>
      <c r="G211" s="283"/>
      <c r="H211" s="283"/>
      <c r="I211" s="283">
        <v>19</v>
      </c>
      <c r="J211" s="284">
        <v>95.34</v>
      </c>
      <c r="K211" s="284"/>
      <c r="L211" s="283">
        <v>1811.17</v>
      </c>
      <c r="M211" s="283"/>
      <c r="N211" s="298">
        <f ca="1">工程量核对表!F210</f>
        <v>17.63738</v>
      </c>
      <c r="O211" s="213">
        <f>O20</f>
        <v>88.6318432432432</v>
      </c>
      <c r="P211" s="213"/>
      <c r="Q211" s="312">
        <f ca="1" t="shared" si="65"/>
        <v>1563.23349938151</v>
      </c>
      <c r="R211" s="312"/>
      <c r="S211" s="213">
        <f ca="1" t="shared" si="66"/>
        <v>1563.23349938151</v>
      </c>
      <c r="T211" s="298">
        <f ca="1" t="shared" si="67"/>
        <v>-247.936500618487</v>
      </c>
      <c r="U211" s="313" t="s">
        <v>45</v>
      </c>
    </row>
    <row r="212" s="162" customFormat="1" ht="25" customHeight="1" spans="1:21">
      <c r="A212" s="208">
        <f>工程量核对表!A211</f>
        <v>10</v>
      </c>
      <c r="B212" s="282" t="str">
        <f>工程量核对表!B211</f>
        <v>人力二次转运材料（运距300米)</v>
      </c>
      <c r="C212" s="210" t="str">
        <f>工程量核对表!C211</f>
        <v>吨/km</v>
      </c>
      <c r="D212" s="283"/>
      <c r="E212" s="283"/>
      <c r="F212" s="283"/>
      <c r="G212" s="283"/>
      <c r="H212" s="283"/>
      <c r="I212" s="283"/>
      <c r="J212" s="284"/>
      <c r="K212" s="284"/>
      <c r="L212" s="283"/>
      <c r="M212" s="283"/>
      <c r="N212" s="298"/>
      <c r="O212" s="213"/>
      <c r="P212" s="213"/>
      <c r="Q212" s="312"/>
      <c r="R212" s="312"/>
      <c r="S212" s="213">
        <f t="shared" si="66"/>
        <v>0</v>
      </c>
      <c r="T212" s="298">
        <f t="shared" si="67"/>
        <v>0</v>
      </c>
      <c r="U212" s="313"/>
    </row>
    <row r="213" s="162" customFormat="1" ht="25" customHeight="1" spans="1:21">
      <c r="A213" s="208">
        <f>工程量核对表!A212</f>
        <v>11</v>
      </c>
      <c r="B213" s="282" t="str">
        <f>工程量核对表!B212</f>
        <v>通气进人孔</v>
      </c>
      <c r="C213" s="210" t="str">
        <f>工程量核对表!C212</f>
        <v>套</v>
      </c>
      <c r="D213" s="283"/>
      <c r="E213" s="283"/>
      <c r="F213" s="283"/>
      <c r="G213" s="283"/>
      <c r="H213" s="283"/>
      <c r="I213" s="283">
        <v>1</v>
      </c>
      <c r="J213" s="284">
        <v>500</v>
      </c>
      <c r="K213" s="284"/>
      <c r="L213" s="283">
        <v>500</v>
      </c>
      <c r="M213" s="283"/>
      <c r="N213" s="298">
        <f ca="1">工程量核对表!F212</f>
        <v>1</v>
      </c>
      <c r="O213" s="213">
        <f>O22</f>
        <v>464.81981981982</v>
      </c>
      <c r="P213" s="213"/>
      <c r="Q213" s="312">
        <f ca="1">N213*O213</f>
        <v>464.81981981982</v>
      </c>
      <c r="R213" s="312"/>
      <c r="S213" s="213">
        <f ca="1" t="shared" si="66"/>
        <v>464.81981981982</v>
      </c>
      <c r="T213" s="298">
        <f ca="1" t="shared" si="67"/>
        <v>-35.18018018018</v>
      </c>
      <c r="U213" s="313" t="s">
        <v>45</v>
      </c>
    </row>
    <row r="214" s="162" customFormat="1" ht="25" customHeight="1" spans="1:21">
      <c r="A214" s="208" t="str">
        <f>工程量核对表!A213</f>
        <v>新增</v>
      </c>
      <c r="B214" s="282" t="str">
        <f>工程量核对表!B213</f>
        <v>电力线</v>
      </c>
      <c r="C214" s="210" t="str">
        <f>工程量核对表!C213</f>
        <v>m</v>
      </c>
      <c r="D214" s="283"/>
      <c r="E214" s="283"/>
      <c r="F214" s="283"/>
      <c r="G214" s="283"/>
      <c r="H214" s="283"/>
      <c r="I214" s="283"/>
      <c r="J214" s="284"/>
      <c r="K214" s="284"/>
      <c r="L214" s="283"/>
      <c r="M214" s="283"/>
      <c r="N214" s="298">
        <f ca="1">工程量核对表!F213</f>
        <v>150</v>
      </c>
      <c r="O214" s="213">
        <f>O23</f>
        <v>46.481981981982</v>
      </c>
      <c r="P214" s="213"/>
      <c r="Q214" s="312">
        <f ca="1">N214*O214</f>
        <v>6972.2972972973</v>
      </c>
      <c r="R214" s="312"/>
      <c r="S214" s="213">
        <f ca="1" t="shared" si="66"/>
        <v>6972.2972972973</v>
      </c>
      <c r="T214" s="298">
        <f ca="1" t="shared" si="67"/>
        <v>6972.2972972973</v>
      </c>
      <c r="U214" s="313" t="s">
        <v>45</v>
      </c>
    </row>
    <row r="215" s="162" customFormat="1" ht="25" customHeight="1" spans="1:21">
      <c r="A215" s="208" t="str">
        <f>工程量核对表!A214</f>
        <v>新增</v>
      </c>
      <c r="B215" s="282" t="str">
        <f>工程量核对表!B214</f>
        <v>杀毒器</v>
      </c>
      <c r="C215" s="210" t="str">
        <f>工程量核对表!C214</f>
        <v>台</v>
      </c>
      <c r="D215" s="283"/>
      <c r="E215" s="283"/>
      <c r="F215" s="283"/>
      <c r="G215" s="283"/>
      <c r="H215" s="283"/>
      <c r="I215" s="283"/>
      <c r="J215" s="284"/>
      <c r="K215" s="284"/>
      <c r="L215" s="283"/>
      <c r="M215" s="283"/>
      <c r="N215" s="298">
        <f ca="1">工程量核对表!F214</f>
        <v>1</v>
      </c>
      <c r="O215" s="213">
        <f>O24</f>
        <v>7437.11711711712</v>
      </c>
      <c r="P215" s="213"/>
      <c r="Q215" s="312">
        <f ca="1">N215*O215</f>
        <v>7437.11711711712</v>
      </c>
      <c r="R215" s="312"/>
      <c r="S215" s="213">
        <f ca="1" t="shared" si="66"/>
        <v>7437.11711711712</v>
      </c>
      <c r="T215" s="298">
        <f ca="1" t="shared" si="67"/>
        <v>7437.11711711712</v>
      </c>
      <c r="U215" s="313" t="s">
        <v>45</v>
      </c>
    </row>
    <row r="216" s="162" customFormat="1" ht="25" customHeight="1" spans="1:21">
      <c r="A216" s="208" t="str">
        <f>工程量核对表!A215</f>
        <v>新增</v>
      </c>
      <c r="B216" s="282" t="str">
        <f>工程量核对表!B215</f>
        <v>C15砼垫层</v>
      </c>
      <c r="C216" s="210" t="str">
        <f>工程量核对表!C215</f>
        <v>m3</v>
      </c>
      <c r="D216" s="283"/>
      <c r="E216" s="283"/>
      <c r="F216" s="283"/>
      <c r="G216" s="283"/>
      <c r="H216" s="283"/>
      <c r="I216" s="283">
        <v>1.28</v>
      </c>
      <c r="J216" s="284">
        <v>531.58</v>
      </c>
      <c r="K216" s="284"/>
      <c r="L216" s="283">
        <v>677.89</v>
      </c>
      <c r="M216" s="283"/>
      <c r="N216" s="298">
        <f ca="1">工程量核对表!F215</f>
        <v>1.2662992</v>
      </c>
      <c r="O216" s="213">
        <v>435.95</v>
      </c>
      <c r="P216" s="213"/>
      <c r="Q216" s="312">
        <f ca="1" t="shared" ref="Q216:Q221" si="68">N216*O216</f>
        <v>552.04313624</v>
      </c>
      <c r="R216" s="312"/>
      <c r="S216" s="213">
        <f ca="1" t="shared" si="66"/>
        <v>552.04313624</v>
      </c>
      <c r="T216" s="298">
        <f ca="1" t="shared" si="67"/>
        <v>-125.84686376</v>
      </c>
      <c r="U216" s="313" t="s">
        <v>59</v>
      </c>
    </row>
    <row r="217" s="162" customFormat="1" ht="25" customHeight="1" spans="1:21">
      <c r="A217" s="208" t="str">
        <f>工程量核对表!A216</f>
        <v>新增</v>
      </c>
      <c r="B217" s="282" t="str">
        <f>工程量核对表!B216</f>
        <v>C20砼地面</v>
      </c>
      <c r="C217" s="210" t="str">
        <f>工程量核对表!C216</f>
        <v>m3</v>
      </c>
      <c r="D217" s="283"/>
      <c r="E217" s="283"/>
      <c r="F217" s="283"/>
      <c r="G217" s="283"/>
      <c r="H217" s="283"/>
      <c r="I217" s="283">
        <v>1.71</v>
      </c>
      <c r="J217" s="284">
        <v>537.51</v>
      </c>
      <c r="K217" s="284"/>
      <c r="L217" s="283">
        <v>918.15</v>
      </c>
      <c r="M217" s="283"/>
      <c r="N217" s="298">
        <f ca="1">工程量核对表!F216</f>
        <v>0.738528</v>
      </c>
      <c r="O217" s="213">
        <f>O27</f>
        <v>448.73</v>
      </c>
      <c r="P217" s="213"/>
      <c r="Q217" s="312">
        <f ca="1" t="shared" si="68"/>
        <v>331.39966944</v>
      </c>
      <c r="R217" s="312"/>
      <c r="S217" s="213">
        <f ca="1" t="shared" si="66"/>
        <v>331.39966944</v>
      </c>
      <c r="T217" s="298">
        <f ca="1" t="shared" si="67"/>
        <v>-586.75033056</v>
      </c>
      <c r="U217" s="313" t="s">
        <v>59</v>
      </c>
    </row>
    <row r="218" s="162" customFormat="1" ht="25" customHeight="1" spans="1:21">
      <c r="A218" s="208" t="str">
        <f>工程量核对表!A218</f>
        <v>新增</v>
      </c>
      <c r="B218" s="282" t="str">
        <f>工程量核对表!B218</f>
        <v>爬梯制安</v>
      </c>
      <c r="C218" s="210" t="str">
        <f>工程量核对表!C218</f>
        <v>步</v>
      </c>
      <c r="D218" s="283"/>
      <c r="E218" s="283"/>
      <c r="F218" s="283"/>
      <c r="G218" s="283"/>
      <c r="H218" s="283"/>
      <c r="I218" s="283">
        <v>8</v>
      </c>
      <c r="J218" s="284">
        <v>61.4</v>
      </c>
      <c r="K218" s="284"/>
      <c r="L218" s="283">
        <v>491.2</v>
      </c>
      <c r="M218" s="283"/>
      <c r="N218" s="298">
        <f ca="1">工程量核对表!F218</f>
        <v>8</v>
      </c>
      <c r="O218" s="213">
        <f>O28</f>
        <v>57.0798738738739</v>
      </c>
      <c r="P218" s="213"/>
      <c r="Q218" s="312">
        <f ca="1" t="shared" si="68"/>
        <v>456.638990990991</v>
      </c>
      <c r="R218" s="312"/>
      <c r="S218" s="213">
        <f ca="1" t="shared" si="66"/>
        <v>456.638990990991</v>
      </c>
      <c r="T218" s="298">
        <f ca="1" t="shared" si="67"/>
        <v>-34.5610090090088</v>
      </c>
      <c r="U218" s="313" t="s">
        <v>60</v>
      </c>
    </row>
    <row r="219" s="162" customFormat="1" ht="25" customHeight="1" spans="1:21">
      <c r="A219" s="208" t="str">
        <f>工程量核对表!A217</f>
        <v>新增</v>
      </c>
      <c r="B219" s="282" t="str">
        <f>工程量核对表!B217</f>
        <v>脚手架</v>
      </c>
      <c r="C219" s="210" t="str">
        <f>工程量核对表!C217</f>
        <v>m2</v>
      </c>
      <c r="D219" s="283"/>
      <c r="E219" s="283"/>
      <c r="F219" s="283"/>
      <c r="G219" s="283"/>
      <c r="H219" s="283"/>
      <c r="I219" s="283">
        <v>19.78</v>
      </c>
      <c r="J219" s="284">
        <v>17.93</v>
      </c>
      <c r="K219" s="284"/>
      <c r="L219" s="283">
        <v>354.7</v>
      </c>
      <c r="M219" s="283"/>
      <c r="N219" s="298">
        <f ca="1">工程量核对表!F217</f>
        <v>0</v>
      </c>
      <c r="O219" s="213">
        <f>J219/1.11*1.0319</f>
        <v>16.6684387387387</v>
      </c>
      <c r="P219" s="213"/>
      <c r="Q219" s="312">
        <f ca="1" t="shared" si="68"/>
        <v>0</v>
      </c>
      <c r="R219" s="312"/>
      <c r="S219" s="213">
        <f ca="1" t="shared" si="66"/>
        <v>0</v>
      </c>
      <c r="T219" s="298">
        <f ca="1" t="shared" si="67"/>
        <v>-354.7</v>
      </c>
      <c r="U219" s="313"/>
    </row>
    <row r="220" s="162" customFormat="1" ht="25" customHeight="1" spans="1:21">
      <c r="A220" s="208" t="str">
        <f>工程量核对表!A219</f>
        <v>新增</v>
      </c>
      <c r="B220" s="282" t="str">
        <f>工程量核对表!B219</f>
        <v>池顶不锈钢护栏</v>
      </c>
      <c r="C220" s="210" t="str">
        <f>工程量核对表!C219</f>
        <v>m2</v>
      </c>
      <c r="D220" s="283"/>
      <c r="E220" s="283"/>
      <c r="F220" s="283"/>
      <c r="G220" s="283"/>
      <c r="H220" s="283"/>
      <c r="I220" s="283">
        <v>25.91</v>
      </c>
      <c r="J220" s="284">
        <v>150</v>
      </c>
      <c r="K220" s="284"/>
      <c r="L220" s="283">
        <v>3885.75</v>
      </c>
      <c r="M220" s="283"/>
      <c r="N220" s="298">
        <f ca="1">工程量核对表!F219</f>
        <v>17.2072</v>
      </c>
      <c r="O220" s="213">
        <f>O30</f>
        <v>139.445945945946</v>
      </c>
      <c r="P220" s="213"/>
      <c r="Q220" s="312">
        <f ca="1" t="shared" si="68"/>
        <v>2399.47428108108</v>
      </c>
      <c r="R220" s="312"/>
      <c r="S220" s="213">
        <f ca="1" t="shared" si="66"/>
        <v>2399.47428108108</v>
      </c>
      <c r="T220" s="298">
        <f ca="1" t="shared" si="67"/>
        <v>-1486.27571891892</v>
      </c>
      <c r="U220" s="313" t="s">
        <v>45</v>
      </c>
    </row>
    <row r="221" s="162" customFormat="1" ht="25" customHeight="1" spans="1:21">
      <c r="A221" s="208" t="str">
        <f>工程量核对表!A220</f>
        <v>新增</v>
      </c>
      <c r="B221" s="282" t="str">
        <f>工程量核对表!B220</f>
        <v>饮水安全标志牌</v>
      </c>
      <c r="C221" s="210" t="str">
        <f>工程量核对表!C220</f>
        <v>个</v>
      </c>
      <c r="D221" s="283"/>
      <c r="E221" s="283"/>
      <c r="F221" s="283"/>
      <c r="G221" s="283"/>
      <c r="H221" s="283"/>
      <c r="I221" s="283">
        <v>1</v>
      </c>
      <c r="J221" s="284">
        <v>100</v>
      </c>
      <c r="K221" s="284"/>
      <c r="L221" s="283">
        <v>100</v>
      </c>
      <c r="M221" s="283"/>
      <c r="N221" s="298">
        <f ca="1">工程量核对表!F220</f>
        <v>1</v>
      </c>
      <c r="O221" s="213">
        <f>O31</f>
        <v>92.963963963964</v>
      </c>
      <c r="P221" s="213"/>
      <c r="Q221" s="312">
        <f ca="1" t="shared" si="68"/>
        <v>92.963963963964</v>
      </c>
      <c r="R221" s="312"/>
      <c r="S221" s="213">
        <f ca="1" t="shared" si="66"/>
        <v>92.963963963964</v>
      </c>
      <c r="T221" s="298">
        <f ca="1" t="shared" si="67"/>
        <v>-7.03603603603599</v>
      </c>
      <c r="U221" s="313" t="s">
        <v>60</v>
      </c>
    </row>
    <row r="222" s="162" customFormat="1" ht="25" customHeight="1" spans="1:21">
      <c r="A222" s="278" t="str">
        <f>工程量核对表!A221</f>
        <v>（二）</v>
      </c>
      <c r="B222" s="279" t="str">
        <f>工程量核对表!B221</f>
        <v>过滤池（集水池工程）</v>
      </c>
      <c r="C222" s="280"/>
      <c r="D222" s="281"/>
      <c r="E222" s="281"/>
      <c r="F222" s="281"/>
      <c r="G222" s="281"/>
      <c r="H222" s="281"/>
      <c r="I222" s="281"/>
      <c r="J222" s="285"/>
      <c r="K222" s="285"/>
      <c r="L222" s="281">
        <v>2103.65</v>
      </c>
      <c r="M222" s="281"/>
      <c r="N222" s="296"/>
      <c r="O222" s="297"/>
      <c r="P222" s="297"/>
      <c r="Q222" s="310">
        <f ca="1">SUM(Q223:Q232)</f>
        <v>1863.80190832432</v>
      </c>
      <c r="R222" s="310"/>
      <c r="S222" s="310">
        <f ca="1" t="shared" ref="Q222:T222" si="69">SUM(S223:S232)</f>
        <v>1863.80190832432</v>
      </c>
      <c r="T222" s="310">
        <f ca="1" t="shared" si="69"/>
        <v>-239.858091675676</v>
      </c>
      <c r="U222" s="311"/>
    </row>
    <row r="223" s="162" customFormat="1" ht="25" customHeight="1" spans="1:21">
      <c r="A223" s="208">
        <f>工程量核对表!A222</f>
        <v>1</v>
      </c>
      <c r="B223" s="282" t="str">
        <f>工程量核对表!B222</f>
        <v>土方开挖</v>
      </c>
      <c r="C223" s="210" t="str">
        <f>工程量核对表!C222</f>
        <v>m3</v>
      </c>
      <c r="D223" s="283"/>
      <c r="E223" s="283"/>
      <c r="F223" s="283"/>
      <c r="G223" s="283"/>
      <c r="H223" s="283"/>
      <c r="I223" s="283">
        <v>1.97</v>
      </c>
      <c r="J223" s="284">
        <v>19.7</v>
      </c>
      <c r="K223" s="284"/>
      <c r="L223" s="283">
        <v>38.72</v>
      </c>
      <c r="M223" s="283"/>
      <c r="N223" s="298">
        <f ca="1">工程量核对表!F222</f>
        <v>1.9656</v>
      </c>
      <c r="O223" s="213">
        <f>O33</f>
        <v>12.15</v>
      </c>
      <c r="P223" s="213"/>
      <c r="Q223" s="312">
        <f ca="1" t="shared" ref="Q223:Q232" si="70">N223*O223</f>
        <v>23.88204</v>
      </c>
      <c r="R223" s="312"/>
      <c r="S223" s="213">
        <f ca="1" t="shared" ref="S223:S232" si="71">Q223-G223</f>
        <v>23.88204</v>
      </c>
      <c r="T223" s="298">
        <f ca="1" t="shared" ref="T223:T232" si="72">Q223-L223</f>
        <v>-14.83796</v>
      </c>
      <c r="U223" s="313" t="s">
        <v>45</v>
      </c>
    </row>
    <row r="224" s="162" customFormat="1" ht="25" customHeight="1" spans="1:21">
      <c r="A224" s="208">
        <f>工程量核对表!A223</f>
        <v>2</v>
      </c>
      <c r="B224" s="282" t="str">
        <f>工程量核对表!B223</f>
        <v>C25混凝土底板浇筑【资料C20】</v>
      </c>
      <c r="C224" s="210" t="str">
        <f>工程量核对表!C223</f>
        <v>m3</v>
      </c>
      <c r="D224" s="283"/>
      <c r="E224" s="283"/>
      <c r="F224" s="283"/>
      <c r="G224" s="283"/>
      <c r="H224" s="283"/>
      <c r="I224" s="283">
        <v>0.5</v>
      </c>
      <c r="J224" s="284">
        <v>537.51</v>
      </c>
      <c r="K224" s="284"/>
      <c r="L224" s="283">
        <v>270.91</v>
      </c>
      <c r="M224" s="283"/>
      <c r="N224" s="298">
        <f ca="1">工程量核对表!F223</f>
        <v>0.504</v>
      </c>
      <c r="O224" s="213">
        <f>O27</f>
        <v>448.73</v>
      </c>
      <c r="P224" s="213"/>
      <c r="Q224" s="312">
        <f ca="1" t="shared" si="70"/>
        <v>226.15992</v>
      </c>
      <c r="R224" s="312"/>
      <c r="S224" s="213">
        <f ca="1" t="shared" si="71"/>
        <v>226.15992</v>
      </c>
      <c r="T224" s="298">
        <f ca="1" t="shared" si="72"/>
        <v>-44.75008</v>
      </c>
      <c r="U224" s="313" t="s">
        <v>59</v>
      </c>
    </row>
    <row r="225" s="162" customFormat="1" ht="25" customHeight="1" spans="1:21">
      <c r="A225" s="208">
        <f>工程量核对表!A224</f>
        <v>3</v>
      </c>
      <c r="B225" s="282" t="str">
        <f>工程量核对表!B224</f>
        <v>C25混凝土顶板浇筑</v>
      </c>
      <c r="C225" s="210" t="str">
        <f>工程量核对表!C224</f>
        <v>m3</v>
      </c>
      <c r="D225" s="283"/>
      <c r="E225" s="283"/>
      <c r="F225" s="283"/>
      <c r="G225" s="283"/>
      <c r="H225" s="283"/>
      <c r="I225" s="283">
        <v>0.35</v>
      </c>
      <c r="J225" s="284">
        <v>592.81</v>
      </c>
      <c r="K225" s="284"/>
      <c r="L225" s="283">
        <v>209.14</v>
      </c>
      <c r="M225" s="283"/>
      <c r="N225" s="298">
        <f ca="1">工程量核对表!F224</f>
        <v>0.3528</v>
      </c>
      <c r="O225" s="213">
        <f>O34</f>
        <v>452.81</v>
      </c>
      <c r="P225" s="213"/>
      <c r="Q225" s="312">
        <f ca="1" t="shared" si="70"/>
        <v>159.751368</v>
      </c>
      <c r="R225" s="312"/>
      <c r="S225" s="213">
        <f ca="1" t="shared" si="71"/>
        <v>159.751368</v>
      </c>
      <c r="T225" s="298">
        <f ca="1" t="shared" si="72"/>
        <v>-49.388632</v>
      </c>
      <c r="U225" s="313" t="s">
        <v>45</v>
      </c>
    </row>
    <row r="226" s="162" customFormat="1" ht="25" customHeight="1" spans="1:21">
      <c r="A226" s="208">
        <f>工程量核对表!A225</f>
        <v>4</v>
      </c>
      <c r="B226" s="282" t="str">
        <f>工程量核对表!B225</f>
        <v>M7.5砖砌</v>
      </c>
      <c r="C226" s="210" t="str">
        <f>工程量核对表!C225</f>
        <v>m3</v>
      </c>
      <c r="D226" s="283"/>
      <c r="E226" s="283"/>
      <c r="F226" s="283"/>
      <c r="G226" s="283"/>
      <c r="H226" s="283"/>
      <c r="I226" s="283">
        <v>1.2</v>
      </c>
      <c r="J226" s="284">
        <v>582.15</v>
      </c>
      <c r="K226" s="284"/>
      <c r="L226" s="283">
        <v>698.58</v>
      </c>
      <c r="M226" s="283"/>
      <c r="N226" s="298">
        <f ca="1">工程量核对表!F225</f>
        <v>1.0848</v>
      </c>
      <c r="O226" s="213">
        <f t="shared" ref="O226:O232" si="73">O36</f>
        <v>418.59</v>
      </c>
      <c r="P226" s="213"/>
      <c r="Q226" s="312">
        <f ca="1" t="shared" si="70"/>
        <v>454.086432</v>
      </c>
      <c r="R226" s="312"/>
      <c r="S226" s="213">
        <f ca="1" t="shared" si="71"/>
        <v>454.086432</v>
      </c>
      <c r="T226" s="298">
        <f ca="1" t="shared" si="72"/>
        <v>-244.493568</v>
      </c>
      <c r="U226" s="313" t="s">
        <v>45</v>
      </c>
    </row>
    <row r="227" s="162" customFormat="1" ht="25" customHeight="1" spans="1:21">
      <c r="A227" s="208">
        <f>工程量核对表!A226</f>
        <v>5</v>
      </c>
      <c r="B227" s="282" t="str">
        <f>工程量核对表!B226</f>
        <v>木模制安</v>
      </c>
      <c r="C227" s="210" t="str">
        <f>工程量核对表!C226</f>
        <v>m2</v>
      </c>
      <c r="D227" s="283"/>
      <c r="E227" s="283"/>
      <c r="F227" s="283"/>
      <c r="G227" s="283"/>
      <c r="H227" s="283"/>
      <c r="I227" s="283">
        <v>3.57</v>
      </c>
      <c r="J227" s="284">
        <v>58.41</v>
      </c>
      <c r="K227" s="284"/>
      <c r="L227" s="283">
        <v>208.55</v>
      </c>
      <c r="M227" s="283"/>
      <c r="N227" s="298">
        <f ca="1">工程量核对表!F226</f>
        <v>3.5704</v>
      </c>
      <c r="O227" s="213">
        <f t="shared" si="73"/>
        <v>59.86</v>
      </c>
      <c r="P227" s="213"/>
      <c r="Q227" s="312">
        <f ca="1" t="shared" si="70"/>
        <v>213.724144</v>
      </c>
      <c r="R227" s="312"/>
      <c r="S227" s="213">
        <f ca="1" t="shared" si="71"/>
        <v>213.724144</v>
      </c>
      <c r="T227" s="298">
        <f ca="1" t="shared" si="72"/>
        <v>5.17414400000001</v>
      </c>
      <c r="U227" s="313" t="s">
        <v>45</v>
      </c>
    </row>
    <row r="228" s="162" customFormat="1" ht="25" customHeight="1" spans="1:21">
      <c r="A228" s="208">
        <f>工程量核对表!A227</f>
        <v>6</v>
      </c>
      <c r="B228" s="282" t="str">
        <f>工程量核对表!B227</f>
        <v>钢筋制安</v>
      </c>
      <c r="C228" s="210" t="s">
        <v>57</v>
      </c>
      <c r="D228" s="283"/>
      <c r="E228" s="283"/>
      <c r="F228" s="283"/>
      <c r="G228" s="283"/>
      <c r="H228" s="283"/>
      <c r="I228" s="283">
        <v>0.02</v>
      </c>
      <c r="J228" s="284">
        <v>6596.11</v>
      </c>
      <c r="K228" s="284"/>
      <c r="L228" s="283">
        <v>151.57</v>
      </c>
      <c r="M228" s="283"/>
      <c r="N228" s="298">
        <f ca="1">工程量核对表!F227/1000</f>
        <v>0.0782416</v>
      </c>
      <c r="O228" s="213">
        <f t="shared" si="73"/>
        <v>5920</v>
      </c>
      <c r="P228" s="213"/>
      <c r="Q228" s="312">
        <f ca="1" t="shared" si="70"/>
        <v>463.190272</v>
      </c>
      <c r="R228" s="312"/>
      <c r="S228" s="213">
        <f ca="1" t="shared" si="71"/>
        <v>463.190272</v>
      </c>
      <c r="T228" s="298">
        <f ca="1" t="shared" si="72"/>
        <v>311.620272</v>
      </c>
      <c r="U228" s="313" t="s">
        <v>58</v>
      </c>
    </row>
    <row r="229" s="162" customFormat="1" ht="25" customHeight="1" spans="1:21">
      <c r="A229" s="208">
        <f>工程量核对表!A228</f>
        <v>7</v>
      </c>
      <c r="B229" s="282" t="str">
        <f>工程量核对表!B228</f>
        <v>M10沙浆抹面</v>
      </c>
      <c r="C229" s="210" t="str">
        <f>工程量核对表!C228</f>
        <v>m2</v>
      </c>
      <c r="D229" s="283"/>
      <c r="E229" s="283"/>
      <c r="F229" s="283"/>
      <c r="G229" s="283"/>
      <c r="H229" s="283"/>
      <c r="I229" s="283">
        <v>6.79</v>
      </c>
      <c r="J229" s="284">
        <v>17.05</v>
      </c>
      <c r="K229" s="284"/>
      <c r="L229" s="283">
        <v>115.72</v>
      </c>
      <c r="M229" s="283"/>
      <c r="N229" s="298">
        <f ca="1">工程量核对表!F228</f>
        <v>6.7872</v>
      </c>
      <c r="O229" s="213">
        <f t="shared" si="73"/>
        <v>11.93</v>
      </c>
      <c r="P229" s="213"/>
      <c r="Q229" s="312">
        <f ca="1" t="shared" si="70"/>
        <v>80.971296</v>
      </c>
      <c r="R229" s="312"/>
      <c r="S229" s="213">
        <f ca="1" t="shared" si="71"/>
        <v>80.971296</v>
      </c>
      <c r="T229" s="298">
        <f ca="1" t="shared" si="72"/>
        <v>-34.748704</v>
      </c>
      <c r="U229" s="313" t="s">
        <v>45</v>
      </c>
    </row>
    <row r="230" s="162" customFormat="1" ht="25" customHeight="1" spans="1:21">
      <c r="A230" s="208">
        <f>工程量核对表!A229</f>
        <v>8</v>
      </c>
      <c r="B230" s="282" t="str">
        <f>工程量核对表!B229</f>
        <v>砂石滤料</v>
      </c>
      <c r="C230" s="210" t="str">
        <f>工程量核对表!C229</f>
        <v>m3</v>
      </c>
      <c r="D230" s="283"/>
      <c r="E230" s="283"/>
      <c r="F230" s="283"/>
      <c r="G230" s="283"/>
      <c r="H230" s="283"/>
      <c r="I230" s="283">
        <v>1.1</v>
      </c>
      <c r="J230" s="284">
        <v>270.26</v>
      </c>
      <c r="K230" s="284"/>
      <c r="L230" s="283">
        <v>298.37</v>
      </c>
      <c r="M230" s="283"/>
      <c r="N230" s="298">
        <f ca="1">工程量核对表!F229</f>
        <v>1.104</v>
      </c>
      <c r="O230" s="213">
        <f t="shared" si="73"/>
        <v>139.445945945946</v>
      </c>
      <c r="P230" s="213"/>
      <c r="Q230" s="312">
        <f ca="1" t="shared" si="70"/>
        <v>153.948324324324</v>
      </c>
      <c r="R230" s="312"/>
      <c r="S230" s="213">
        <f ca="1" t="shared" si="71"/>
        <v>153.948324324324</v>
      </c>
      <c r="T230" s="298">
        <f ca="1" t="shared" si="72"/>
        <v>-144.421675675676</v>
      </c>
      <c r="U230" s="313" t="s">
        <v>45</v>
      </c>
    </row>
    <row r="231" s="162" customFormat="1" ht="25" customHeight="1" spans="1:21">
      <c r="A231" s="208" t="str">
        <f>工程量核对表!A230</f>
        <v>新增</v>
      </c>
      <c r="B231" s="282" t="str">
        <f>工程量核对表!B230</f>
        <v>石方开挖</v>
      </c>
      <c r="C231" s="210" t="str">
        <f>工程量核对表!C230</f>
        <v>m3</v>
      </c>
      <c r="D231" s="283"/>
      <c r="E231" s="283"/>
      <c r="F231" s="283"/>
      <c r="G231" s="283"/>
      <c r="H231" s="283"/>
      <c r="I231" s="283">
        <v>1.31</v>
      </c>
      <c r="J231" s="284">
        <v>57.04</v>
      </c>
      <c r="K231" s="284"/>
      <c r="L231" s="283">
        <v>74.75</v>
      </c>
      <c r="M231" s="283"/>
      <c r="N231" s="298">
        <f ca="1">工程量核对表!F230</f>
        <v>1.3104</v>
      </c>
      <c r="O231" s="213">
        <f t="shared" si="73"/>
        <v>53.28</v>
      </c>
      <c r="P231" s="213"/>
      <c r="Q231" s="312">
        <f ca="1" t="shared" si="70"/>
        <v>69.818112</v>
      </c>
      <c r="R231" s="312"/>
      <c r="S231" s="213">
        <f ca="1" t="shared" si="71"/>
        <v>69.818112</v>
      </c>
      <c r="T231" s="298">
        <f ca="1" t="shared" si="72"/>
        <v>-4.931888</v>
      </c>
      <c r="U231" s="313" t="s">
        <v>45</v>
      </c>
    </row>
    <row r="232" s="162" customFormat="1" ht="25" customHeight="1" spans="1:21">
      <c r="A232" s="208" t="str">
        <f>工程量核对表!A231</f>
        <v>新增</v>
      </c>
      <c r="B232" s="282" t="str">
        <f>工程量核对表!B231</f>
        <v>土石方回填</v>
      </c>
      <c r="C232" s="210" t="str">
        <f>工程量核对表!C231</f>
        <v>m3</v>
      </c>
      <c r="D232" s="283"/>
      <c r="E232" s="283"/>
      <c r="F232" s="283"/>
      <c r="G232" s="283"/>
      <c r="H232" s="283"/>
      <c r="I232" s="283">
        <v>1.5</v>
      </c>
      <c r="J232" s="284">
        <v>24.9</v>
      </c>
      <c r="K232" s="284"/>
      <c r="L232" s="283">
        <v>37.35</v>
      </c>
      <c r="M232" s="283"/>
      <c r="N232" s="298">
        <f ca="1">工程量核对表!F231</f>
        <v>1.5</v>
      </c>
      <c r="O232" s="213">
        <f t="shared" si="73"/>
        <v>12.18</v>
      </c>
      <c r="P232" s="213"/>
      <c r="Q232" s="312">
        <f ca="1" t="shared" si="70"/>
        <v>18.27</v>
      </c>
      <c r="R232" s="312"/>
      <c r="S232" s="213">
        <f ca="1" t="shared" si="71"/>
        <v>18.27</v>
      </c>
      <c r="T232" s="298">
        <f ca="1" t="shared" si="72"/>
        <v>-19.08</v>
      </c>
      <c r="U232" s="313" t="s">
        <v>45</v>
      </c>
    </row>
    <row r="233" s="162" customFormat="1" ht="25" customHeight="1" spans="1:21">
      <c r="A233" s="278" t="str">
        <f>工程量核对表!A232</f>
        <v>（三）</v>
      </c>
      <c r="B233" s="279" t="str">
        <f>工程量核对表!B232</f>
        <v>闸室工程</v>
      </c>
      <c r="C233" s="280"/>
      <c r="D233" s="281"/>
      <c r="E233" s="281"/>
      <c r="F233" s="281"/>
      <c r="G233" s="281"/>
      <c r="H233" s="281"/>
      <c r="I233" s="281"/>
      <c r="J233" s="285"/>
      <c r="K233" s="285"/>
      <c r="L233" s="281">
        <v>2559.69</v>
      </c>
      <c r="M233" s="281"/>
      <c r="N233" s="296"/>
      <c r="O233" s="297"/>
      <c r="P233" s="297"/>
      <c r="Q233" s="310">
        <f ca="1">SUM(Q234:Q241)</f>
        <v>1437.62029232</v>
      </c>
      <c r="R233" s="310"/>
      <c r="S233" s="310">
        <f ca="1" t="shared" ref="Q233:T233" si="74">SUM(S234:S241)</f>
        <v>1437.62029232</v>
      </c>
      <c r="T233" s="310">
        <f ca="1" t="shared" si="74"/>
        <v>-1122.06970768</v>
      </c>
      <c r="U233" s="311"/>
    </row>
    <row r="234" s="162" customFormat="1" ht="25" customHeight="1" spans="1:21">
      <c r="A234" s="208">
        <f>工程量核对表!A233</f>
        <v>1</v>
      </c>
      <c r="B234" s="282" t="str">
        <f>工程量核对表!B233</f>
        <v>土方开挖</v>
      </c>
      <c r="C234" s="210" t="str">
        <f>工程量核对表!C233</f>
        <v>m3</v>
      </c>
      <c r="D234" s="283"/>
      <c r="E234" s="283"/>
      <c r="F234" s="283"/>
      <c r="G234" s="283"/>
      <c r="H234" s="283"/>
      <c r="I234" s="283">
        <v>3.12</v>
      </c>
      <c r="J234" s="284">
        <v>19.7</v>
      </c>
      <c r="K234" s="284"/>
      <c r="L234" s="283">
        <v>61.43</v>
      </c>
      <c r="M234" s="283"/>
      <c r="N234" s="298">
        <f ca="1">工程量核对表!F233</f>
        <v>2.893968</v>
      </c>
      <c r="O234" s="213">
        <f>O33</f>
        <v>12.15</v>
      </c>
      <c r="P234" s="213"/>
      <c r="Q234" s="312">
        <f ca="1" t="shared" ref="Q234:Q241" si="75">N234*O234</f>
        <v>35.1617112</v>
      </c>
      <c r="R234" s="312"/>
      <c r="S234" s="213">
        <f ca="1" t="shared" ref="S234:S241" si="76">Q234-G234</f>
        <v>35.1617112</v>
      </c>
      <c r="T234" s="298">
        <f ca="1" t="shared" ref="T234:T241" si="77">Q234-L234</f>
        <v>-26.2682888</v>
      </c>
      <c r="U234" s="313" t="s">
        <v>45</v>
      </c>
    </row>
    <row r="235" s="162" customFormat="1" ht="25" customHeight="1" spans="1:21">
      <c r="A235" s="208">
        <f>工程量核对表!A234</f>
        <v>2</v>
      </c>
      <c r="B235" s="282" t="str">
        <f>工程量核对表!B234</f>
        <v>石方开挖</v>
      </c>
      <c r="C235" s="210" t="str">
        <f>工程量核对表!C234</f>
        <v>m3</v>
      </c>
      <c r="D235" s="283"/>
      <c r="E235" s="283"/>
      <c r="F235" s="283"/>
      <c r="G235" s="283"/>
      <c r="H235" s="283"/>
      <c r="I235" s="283">
        <v>2.08</v>
      </c>
      <c r="J235" s="284">
        <v>57.04</v>
      </c>
      <c r="K235" s="284"/>
      <c r="L235" s="283">
        <v>118.59</v>
      </c>
      <c r="M235" s="283"/>
      <c r="N235" s="298">
        <f ca="1">工程量核对表!F234</f>
        <v>1.929312</v>
      </c>
      <c r="O235" s="213">
        <f>O41</f>
        <v>53.28</v>
      </c>
      <c r="P235" s="213"/>
      <c r="Q235" s="312">
        <f ca="1" t="shared" si="75"/>
        <v>102.79374336</v>
      </c>
      <c r="R235" s="312"/>
      <c r="S235" s="213">
        <f ca="1" t="shared" si="76"/>
        <v>102.79374336</v>
      </c>
      <c r="T235" s="298">
        <f ca="1" t="shared" si="77"/>
        <v>-15.79625664</v>
      </c>
      <c r="U235" s="313" t="s">
        <v>45</v>
      </c>
    </row>
    <row r="236" s="162" customFormat="1" ht="25" customHeight="1" spans="1:21">
      <c r="A236" s="208">
        <f>工程量核对表!A235</f>
        <v>3</v>
      </c>
      <c r="B236" s="282" t="str">
        <f>工程量核对表!B235</f>
        <v>土石方回填</v>
      </c>
      <c r="C236" s="210" t="str">
        <f>工程量核对表!C235</f>
        <v>m3</v>
      </c>
      <c r="D236" s="283"/>
      <c r="E236" s="283"/>
      <c r="F236" s="283"/>
      <c r="G236" s="283"/>
      <c r="H236" s="283"/>
      <c r="I236" s="283">
        <v>4.03</v>
      </c>
      <c r="J236" s="284">
        <v>24.9</v>
      </c>
      <c r="K236" s="284"/>
      <c r="L236" s="283">
        <v>100.4</v>
      </c>
      <c r="M236" s="283"/>
      <c r="N236" s="298">
        <f ca="1">工程量核对表!F235</f>
        <v>4.1536</v>
      </c>
      <c r="O236" s="213">
        <f>O54</f>
        <v>31.19</v>
      </c>
      <c r="P236" s="213"/>
      <c r="Q236" s="312">
        <f ca="1" t="shared" si="75"/>
        <v>129.550784</v>
      </c>
      <c r="R236" s="312"/>
      <c r="S236" s="213">
        <f ca="1" t="shared" si="76"/>
        <v>129.550784</v>
      </c>
      <c r="T236" s="298">
        <f ca="1" t="shared" si="77"/>
        <v>29.150784</v>
      </c>
      <c r="U236" s="313" t="s">
        <v>45</v>
      </c>
    </row>
    <row r="237" s="162" customFormat="1" ht="25" customHeight="1" spans="1:21">
      <c r="A237" s="208">
        <f>工程量核对表!A236</f>
        <v>4</v>
      </c>
      <c r="B237" s="282" t="str">
        <f>工程量核对表!B236</f>
        <v>C25混凝土底板浇筑【资料C20】</v>
      </c>
      <c r="C237" s="210" t="str">
        <f>工程量核对表!C236</f>
        <v>m3</v>
      </c>
      <c r="D237" s="283"/>
      <c r="E237" s="283"/>
      <c r="F237" s="283"/>
      <c r="G237" s="283"/>
      <c r="H237" s="283"/>
      <c r="I237" s="283">
        <v>0.38</v>
      </c>
      <c r="J237" s="284">
        <v>537.51</v>
      </c>
      <c r="K237" s="284"/>
      <c r="L237" s="283">
        <v>206.2</v>
      </c>
      <c r="M237" s="283"/>
      <c r="N237" s="298">
        <f ca="1">工程量核对表!F236</f>
        <v>0.35424</v>
      </c>
      <c r="O237" s="213">
        <f>O27</f>
        <v>448.73</v>
      </c>
      <c r="P237" s="213"/>
      <c r="Q237" s="312">
        <f ca="1" t="shared" si="75"/>
        <v>158.9581152</v>
      </c>
      <c r="R237" s="312"/>
      <c r="S237" s="213">
        <f ca="1" t="shared" si="76"/>
        <v>158.9581152</v>
      </c>
      <c r="T237" s="298">
        <f ca="1" t="shared" si="77"/>
        <v>-47.2418848</v>
      </c>
      <c r="U237" s="313" t="s">
        <v>59</v>
      </c>
    </row>
    <row r="238" s="162" customFormat="1" ht="25" customHeight="1" spans="1:21">
      <c r="A238" s="208">
        <f>工程量核对表!A237</f>
        <v>5</v>
      </c>
      <c r="B238" s="282" t="str">
        <f>工程量核对表!B237</f>
        <v>M7.5砖砌围墙</v>
      </c>
      <c r="C238" s="210" t="str">
        <f>工程量核对表!C237</f>
        <v>m3</v>
      </c>
      <c r="D238" s="283"/>
      <c r="E238" s="283"/>
      <c r="F238" s="283"/>
      <c r="G238" s="283"/>
      <c r="H238" s="283"/>
      <c r="I238" s="283">
        <v>2.76</v>
      </c>
      <c r="J238" s="284">
        <v>582.15</v>
      </c>
      <c r="K238" s="284"/>
      <c r="L238" s="283">
        <v>1609.53</v>
      </c>
      <c r="M238" s="283"/>
      <c r="N238" s="298">
        <f ca="1">工程量核对表!F237</f>
        <v>1.790976</v>
      </c>
      <c r="O238" s="213">
        <f>O47</f>
        <v>418.59</v>
      </c>
      <c r="P238" s="213"/>
      <c r="Q238" s="312">
        <f ca="1" t="shared" si="75"/>
        <v>749.68464384</v>
      </c>
      <c r="R238" s="312"/>
      <c r="S238" s="213">
        <f ca="1" t="shared" si="76"/>
        <v>749.68464384</v>
      </c>
      <c r="T238" s="298">
        <f ca="1" t="shared" si="77"/>
        <v>-859.84535616</v>
      </c>
      <c r="U238" s="313" t="s">
        <v>45</v>
      </c>
    </row>
    <row r="239" s="162" customFormat="1" ht="25" customHeight="1" spans="1:21">
      <c r="A239" s="208">
        <f>工程量核对表!A238</f>
        <v>6</v>
      </c>
      <c r="B239" s="282" t="str">
        <f>工程量核对表!B238</f>
        <v>M10沙浆抹面</v>
      </c>
      <c r="C239" s="210" t="str">
        <f>工程量核对表!C238</f>
        <v>m2</v>
      </c>
      <c r="D239" s="283"/>
      <c r="E239" s="283"/>
      <c r="F239" s="283"/>
      <c r="G239" s="283"/>
      <c r="H239" s="283"/>
      <c r="I239" s="283">
        <v>10.4</v>
      </c>
      <c r="J239" s="284">
        <v>17.05</v>
      </c>
      <c r="K239" s="284"/>
      <c r="L239" s="283">
        <v>171.1</v>
      </c>
      <c r="M239" s="283"/>
      <c r="N239" s="298">
        <f ca="1">工程量核对表!F238</f>
        <v>10.384</v>
      </c>
      <c r="O239" s="213">
        <f>O39</f>
        <v>11.93</v>
      </c>
      <c r="P239" s="213"/>
      <c r="Q239" s="312">
        <f ca="1" t="shared" si="75"/>
        <v>123.88112</v>
      </c>
      <c r="R239" s="312"/>
      <c r="S239" s="213">
        <f ca="1" t="shared" si="76"/>
        <v>123.88112</v>
      </c>
      <c r="T239" s="298">
        <f ca="1" t="shared" si="77"/>
        <v>-47.21888</v>
      </c>
      <c r="U239" s="313" t="s">
        <v>45</v>
      </c>
    </row>
    <row r="240" s="162" customFormat="1" ht="25" customHeight="1" spans="1:21">
      <c r="A240" s="208" t="str">
        <f>工程量核对表!A239</f>
        <v>新增</v>
      </c>
      <c r="B240" s="282" t="str">
        <f>工程量核对表!B239</f>
        <v>C25混凝土顶板浇筑【资料C20】</v>
      </c>
      <c r="C240" s="210" t="str">
        <f>工程量核对表!C239</f>
        <v>m3</v>
      </c>
      <c r="D240" s="283"/>
      <c r="E240" s="283"/>
      <c r="F240" s="283"/>
      <c r="G240" s="283"/>
      <c r="H240" s="283"/>
      <c r="I240" s="283">
        <v>0.31</v>
      </c>
      <c r="J240" s="284">
        <v>592.81</v>
      </c>
      <c r="K240" s="284"/>
      <c r="L240" s="283">
        <v>181.93</v>
      </c>
      <c r="M240" s="283"/>
      <c r="N240" s="298">
        <f ca="1">工程量核对表!F239</f>
        <v>0.094464</v>
      </c>
      <c r="O240" s="213">
        <f>O27</f>
        <v>448.73</v>
      </c>
      <c r="P240" s="213"/>
      <c r="Q240" s="312">
        <f ca="1" t="shared" si="75"/>
        <v>42.38883072</v>
      </c>
      <c r="R240" s="312"/>
      <c r="S240" s="213">
        <f ca="1" t="shared" si="76"/>
        <v>42.38883072</v>
      </c>
      <c r="T240" s="298">
        <f ca="1" t="shared" si="77"/>
        <v>-139.54116928</v>
      </c>
      <c r="U240" s="313" t="s">
        <v>59</v>
      </c>
    </row>
    <row r="241" s="162" customFormat="1" ht="25" customHeight="1" spans="1:21">
      <c r="A241" s="208" t="str">
        <f>工程量核对表!A240</f>
        <v>新增</v>
      </c>
      <c r="B241" s="282" t="str">
        <f>工程量核对表!B240</f>
        <v>木模制安</v>
      </c>
      <c r="C241" s="210" t="str">
        <f>工程量核对表!C240</f>
        <v>m2</v>
      </c>
      <c r="D241" s="283"/>
      <c r="E241" s="283"/>
      <c r="F241" s="283"/>
      <c r="G241" s="283"/>
      <c r="H241" s="283"/>
      <c r="I241" s="283">
        <v>1.89</v>
      </c>
      <c r="J241" s="284">
        <v>58.41</v>
      </c>
      <c r="K241" s="284"/>
      <c r="L241" s="283">
        <v>110.51</v>
      </c>
      <c r="M241" s="283"/>
      <c r="N241" s="298">
        <f ca="1">工程量核对表!F240</f>
        <v>1.5904</v>
      </c>
      <c r="O241" s="213">
        <f>O37</f>
        <v>59.86</v>
      </c>
      <c r="P241" s="213"/>
      <c r="Q241" s="312">
        <f ca="1" t="shared" si="75"/>
        <v>95.201344</v>
      </c>
      <c r="R241" s="312"/>
      <c r="S241" s="213">
        <f ca="1" t="shared" si="76"/>
        <v>95.201344</v>
      </c>
      <c r="T241" s="298">
        <f ca="1" t="shared" si="77"/>
        <v>-15.308656</v>
      </c>
      <c r="U241" s="313" t="s">
        <v>45</v>
      </c>
    </row>
    <row r="242" s="162" customFormat="1" ht="25" customHeight="1" spans="1:21">
      <c r="A242" s="278" t="str">
        <f>工程量核对表!A241</f>
        <v>新增</v>
      </c>
      <c r="B242" s="279" t="str">
        <f>工程量核对表!B241</f>
        <v>排污、供水管工程</v>
      </c>
      <c r="C242" s="280"/>
      <c r="D242" s="281"/>
      <c r="E242" s="281"/>
      <c r="F242" s="281"/>
      <c r="G242" s="281"/>
      <c r="H242" s="281"/>
      <c r="I242" s="281"/>
      <c r="J242" s="285"/>
      <c r="K242" s="285"/>
      <c r="L242" s="281">
        <v>2386.97</v>
      </c>
      <c r="M242" s="281"/>
      <c r="N242" s="296"/>
      <c r="O242" s="297"/>
      <c r="P242" s="297"/>
      <c r="Q242" s="310">
        <f ca="1">SUM(Q243:Q246)</f>
        <v>1605.11912</v>
      </c>
      <c r="R242" s="310"/>
      <c r="S242" s="310">
        <f ca="1" t="shared" ref="Q242:T242" si="78">SUM(S243:S246)</f>
        <v>1605.11912</v>
      </c>
      <c r="T242" s="310">
        <f ca="1" t="shared" si="78"/>
        <v>-781.85088</v>
      </c>
      <c r="U242" s="311"/>
    </row>
    <row r="243" s="162" customFormat="1" ht="25" customHeight="1" spans="1:21">
      <c r="A243" s="208">
        <f>工程量核对表!A242</f>
        <v>1</v>
      </c>
      <c r="B243" s="282" t="str">
        <f>工程量核对表!B242</f>
        <v>土方开挖</v>
      </c>
      <c r="C243" s="210" t="str">
        <f>工程量核对表!C242</f>
        <v>m3</v>
      </c>
      <c r="D243" s="283"/>
      <c r="E243" s="283"/>
      <c r="F243" s="283"/>
      <c r="G243" s="283"/>
      <c r="H243" s="283"/>
      <c r="I243" s="283">
        <v>28.42</v>
      </c>
      <c r="J243" s="284">
        <v>19.7</v>
      </c>
      <c r="K243" s="284"/>
      <c r="L243" s="283">
        <v>559.8</v>
      </c>
      <c r="M243" s="283"/>
      <c r="N243" s="298">
        <f ca="1">工程量核对表!F242</f>
        <v>28.416</v>
      </c>
      <c r="O243" s="213">
        <f>O33</f>
        <v>12.15</v>
      </c>
      <c r="P243" s="213"/>
      <c r="Q243" s="312">
        <f ca="1">N243*O243</f>
        <v>345.2544</v>
      </c>
      <c r="R243" s="312"/>
      <c r="S243" s="213">
        <f ca="1" t="shared" ref="S243:S246" si="79">Q243-G243</f>
        <v>345.2544</v>
      </c>
      <c r="T243" s="298">
        <f ca="1" t="shared" ref="T243:T246" si="80">Q243-L243</f>
        <v>-214.5456</v>
      </c>
      <c r="U243" s="313" t="s">
        <v>45</v>
      </c>
    </row>
    <row r="244" s="162" customFormat="1" ht="25" customHeight="1" spans="1:21">
      <c r="A244" s="208">
        <f>工程量核对表!A243</f>
        <v>2</v>
      </c>
      <c r="B244" s="282" t="str">
        <f>工程量核对表!B243</f>
        <v>石方开挖</v>
      </c>
      <c r="C244" s="210" t="str">
        <f>工程量核对表!C243</f>
        <v>m3</v>
      </c>
      <c r="D244" s="283"/>
      <c r="E244" s="283"/>
      <c r="F244" s="283"/>
      <c r="G244" s="283"/>
      <c r="H244" s="283"/>
      <c r="I244" s="283">
        <v>7.1</v>
      </c>
      <c r="J244" s="284">
        <v>57.04</v>
      </c>
      <c r="K244" s="284"/>
      <c r="L244" s="283">
        <v>405.21</v>
      </c>
      <c r="M244" s="283"/>
      <c r="N244" s="298">
        <f ca="1">工程量核对表!F243</f>
        <v>7.104</v>
      </c>
      <c r="O244" s="213">
        <f>O41</f>
        <v>53.28</v>
      </c>
      <c r="P244" s="213"/>
      <c r="Q244" s="312">
        <f ca="1">N244*O244</f>
        <v>378.50112</v>
      </c>
      <c r="R244" s="312"/>
      <c r="S244" s="213">
        <f ca="1" t="shared" si="79"/>
        <v>378.50112</v>
      </c>
      <c r="T244" s="298">
        <f ca="1" t="shared" si="80"/>
        <v>-26.7088799999999</v>
      </c>
      <c r="U244" s="313" t="s">
        <v>45</v>
      </c>
    </row>
    <row r="245" s="162" customFormat="1" ht="25" customHeight="1" spans="1:21">
      <c r="A245" s="208">
        <f>工程量核对表!A244</f>
        <v>3</v>
      </c>
      <c r="B245" s="282" t="str">
        <f>工程量核对表!B244</f>
        <v>C20砼 截留环（2个）</v>
      </c>
      <c r="C245" s="210" t="str">
        <f>工程量核对表!C244</f>
        <v>m3</v>
      </c>
      <c r="D245" s="283"/>
      <c r="E245" s="283"/>
      <c r="F245" s="283"/>
      <c r="G245" s="283"/>
      <c r="H245" s="283"/>
      <c r="I245" s="283">
        <v>1</v>
      </c>
      <c r="J245" s="284">
        <v>537.51</v>
      </c>
      <c r="K245" s="284"/>
      <c r="L245" s="283">
        <v>537.51</v>
      </c>
      <c r="M245" s="283"/>
      <c r="N245" s="298">
        <f ca="1">工程量核对表!F244</f>
        <v>1</v>
      </c>
      <c r="O245" s="213">
        <f>O27</f>
        <v>448.73</v>
      </c>
      <c r="P245" s="213"/>
      <c r="Q245" s="312">
        <f ca="1">N245*O245</f>
        <v>448.73</v>
      </c>
      <c r="R245" s="312"/>
      <c r="S245" s="213">
        <f ca="1" t="shared" si="79"/>
        <v>448.73</v>
      </c>
      <c r="T245" s="298">
        <f ca="1" t="shared" si="80"/>
        <v>-88.78</v>
      </c>
      <c r="U245" s="313" t="s">
        <v>59</v>
      </c>
    </row>
    <row r="246" s="162" customFormat="1" ht="25" customHeight="1" spans="1:21">
      <c r="A246" s="208">
        <f>工程量核对表!A245</f>
        <v>4</v>
      </c>
      <c r="B246" s="282" t="str">
        <f>工程量核对表!B245</f>
        <v>土石方回填</v>
      </c>
      <c r="C246" s="210" t="str">
        <f>工程量核对表!C245</f>
        <v>m3</v>
      </c>
      <c r="D246" s="283"/>
      <c r="E246" s="283"/>
      <c r="F246" s="283"/>
      <c r="G246" s="283"/>
      <c r="H246" s="283"/>
      <c r="I246" s="283">
        <v>35.52</v>
      </c>
      <c r="J246" s="284">
        <v>24.9</v>
      </c>
      <c r="K246" s="284"/>
      <c r="L246" s="283">
        <v>884.45</v>
      </c>
      <c r="M246" s="283"/>
      <c r="N246" s="298">
        <f ca="1">工程量核对表!F245</f>
        <v>35.52</v>
      </c>
      <c r="O246" s="213">
        <f>O42</f>
        <v>12.18</v>
      </c>
      <c r="P246" s="213"/>
      <c r="Q246" s="312">
        <f ca="1">N246*O246</f>
        <v>432.6336</v>
      </c>
      <c r="R246" s="312"/>
      <c r="S246" s="213">
        <f ca="1" t="shared" si="79"/>
        <v>432.6336</v>
      </c>
      <c r="T246" s="298">
        <f ca="1" t="shared" si="80"/>
        <v>-451.8164</v>
      </c>
      <c r="U246" s="313" t="s">
        <v>45</v>
      </c>
    </row>
    <row r="247" s="162" customFormat="1" ht="25" customHeight="1" spans="1:21">
      <c r="A247" s="278" t="str">
        <f>工程量核对表!A246</f>
        <v>新增</v>
      </c>
      <c r="B247" s="279" t="str">
        <f>工程量核对表!B246</f>
        <v>临时公路</v>
      </c>
      <c r="C247" s="280" t="str">
        <f>工程量核对表!C246</f>
        <v/>
      </c>
      <c r="D247" s="281"/>
      <c r="E247" s="281"/>
      <c r="F247" s="281"/>
      <c r="G247" s="281"/>
      <c r="H247" s="281"/>
      <c r="I247" s="281"/>
      <c r="J247" s="285"/>
      <c r="K247" s="285"/>
      <c r="L247" s="281">
        <v>26885.27</v>
      </c>
      <c r="M247" s="281"/>
      <c r="N247" s="296"/>
      <c r="O247" s="297"/>
      <c r="P247" s="297"/>
      <c r="Q247" s="310">
        <f ca="1">Q248</f>
        <v>0</v>
      </c>
      <c r="R247" s="310"/>
      <c r="S247" s="310">
        <f ca="1" t="shared" ref="Q247:T247" si="81">S248</f>
        <v>0</v>
      </c>
      <c r="T247" s="310">
        <f ca="1" t="shared" si="81"/>
        <v>-26885.27</v>
      </c>
      <c r="U247" s="311"/>
    </row>
    <row r="248" s="162" customFormat="1" ht="25" customHeight="1" spans="1:21">
      <c r="A248" s="208">
        <f>工程量核对表!A247</f>
        <v>1</v>
      </c>
      <c r="B248" s="282" t="str">
        <f>工程量核对表!B247</f>
        <v>临时施工路</v>
      </c>
      <c r="C248" s="210" t="str">
        <f>工程量核对表!C247</f>
        <v>km</v>
      </c>
      <c r="D248" s="283"/>
      <c r="E248" s="283"/>
      <c r="F248" s="283"/>
      <c r="G248" s="283"/>
      <c r="H248" s="283"/>
      <c r="I248" s="283">
        <v>0.3</v>
      </c>
      <c r="J248" s="284">
        <v>89617.58</v>
      </c>
      <c r="K248" s="284"/>
      <c r="L248" s="283">
        <v>26885.27</v>
      </c>
      <c r="M248" s="283"/>
      <c r="N248" s="298">
        <f ca="1">工程量核对表!F247</f>
        <v>0</v>
      </c>
      <c r="O248" s="213">
        <v>74273.57</v>
      </c>
      <c r="P248" s="213"/>
      <c r="Q248" s="312">
        <f ca="1">N248*O248</f>
        <v>0</v>
      </c>
      <c r="R248" s="312"/>
      <c r="S248" s="213">
        <f ca="1">Q248-G248</f>
        <v>0</v>
      </c>
      <c r="T248" s="298">
        <f ca="1">Q248-L248</f>
        <v>-26885.27</v>
      </c>
      <c r="U248" s="313"/>
    </row>
    <row r="249" s="162" customFormat="1" ht="25" customHeight="1" spans="1:21">
      <c r="A249" s="274" t="str">
        <f>工程量核对表!A248</f>
        <v>五</v>
      </c>
      <c r="B249" s="275" t="str">
        <f>工程量核对表!B248</f>
        <v>李家山供水工程</v>
      </c>
      <c r="C249" s="276" t="str">
        <f>工程量核对表!C248</f>
        <v/>
      </c>
      <c r="D249" s="277"/>
      <c r="E249" s="277"/>
      <c r="F249" s="277"/>
      <c r="G249" s="277"/>
      <c r="H249" s="277"/>
      <c r="I249" s="277"/>
      <c r="J249" s="293"/>
      <c r="K249" s="293"/>
      <c r="L249" s="277">
        <v>35942.37</v>
      </c>
      <c r="M249" s="277"/>
      <c r="N249" s="294"/>
      <c r="O249" s="295"/>
      <c r="P249" s="295"/>
      <c r="Q249" s="308">
        <f ca="1">Q281+Q250+Q271+Q288</f>
        <v>34736.4215936123</v>
      </c>
      <c r="R249" s="308"/>
      <c r="S249" s="308">
        <f ca="1" t="shared" ref="Q249:T249" si="82">S281+S250+S271+S288</f>
        <v>34736.4215936123</v>
      </c>
      <c r="T249" s="308">
        <f ca="1" t="shared" si="82"/>
        <v>-1205.94840638768</v>
      </c>
      <c r="U249" s="309"/>
    </row>
    <row r="250" s="162" customFormat="1" ht="25" customHeight="1" spans="1:21">
      <c r="A250" s="278" t="str">
        <f>工程量核对表!A249</f>
        <v>（一）</v>
      </c>
      <c r="B250" s="279" t="str">
        <f>工程量核对表!B249</f>
        <v>蓄水池工程</v>
      </c>
      <c r="C250" s="280"/>
      <c r="D250" s="281"/>
      <c r="E250" s="281"/>
      <c r="F250" s="281"/>
      <c r="G250" s="281"/>
      <c r="H250" s="281"/>
      <c r="I250" s="281"/>
      <c r="J250" s="285"/>
      <c r="K250" s="285"/>
      <c r="L250" s="281">
        <v>25696.22</v>
      </c>
      <c r="M250" s="281"/>
      <c r="N250" s="296"/>
      <c r="O250" s="297"/>
      <c r="P250" s="297"/>
      <c r="Q250" s="310">
        <f ca="1">SUM(Q251:Q270)</f>
        <v>33711.9719635324</v>
      </c>
      <c r="R250" s="310"/>
      <c r="S250" s="310">
        <f ca="1">SUM(S251:S270)</f>
        <v>33711.9719635324</v>
      </c>
      <c r="T250" s="310">
        <f ca="1">SUM(T251:T270)</f>
        <v>8015.76196353244</v>
      </c>
      <c r="U250" s="311"/>
    </row>
    <row r="251" s="162" customFormat="1" ht="25" customHeight="1" spans="1:21">
      <c r="A251" s="208">
        <f>工程量核对表!A250</f>
        <v>1</v>
      </c>
      <c r="B251" s="282" t="str">
        <f>工程量核对表!B250</f>
        <v>土方开挖</v>
      </c>
      <c r="C251" s="210" t="str">
        <f>工程量核对表!C250</f>
        <v>m3</v>
      </c>
      <c r="D251" s="283"/>
      <c r="E251" s="283"/>
      <c r="F251" s="283"/>
      <c r="G251" s="283"/>
      <c r="H251" s="283"/>
      <c r="I251" s="283">
        <v>12.54</v>
      </c>
      <c r="J251" s="284">
        <v>19.7</v>
      </c>
      <c r="K251" s="284"/>
      <c r="L251" s="283">
        <v>247.04</v>
      </c>
      <c r="M251" s="283"/>
      <c r="N251" s="298">
        <f ca="1">工程量核对表!F250</f>
        <v>12.159114</v>
      </c>
      <c r="O251" s="213">
        <f>O33</f>
        <v>12.15</v>
      </c>
      <c r="P251" s="213"/>
      <c r="Q251" s="312">
        <f ca="1" t="shared" ref="Q251:Q270" si="83">N251*O251</f>
        <v>147.7332351</v>
      </c>
      <c r="R251" s="312"/>
      <c r="S251" s="213">
        <f ca="1" t="shared" ref="S251:S270" si="84">Q251-G251</f>
        <v>147.7332351</v>
      </c>
      <c r="T251" s="298">
        <f ca="1" t="shared" ref="T251:T270" si="85">Q251-L251</f>
        <v>-99.3067649</v>
      </c>
      <c r="U251" s="313" t="s">
        <v>45</v>
      </c>
    </row>
    <row r="252" s="162" customFormat="1" ht="25" customHeight="1" spans="1:21">
      <c r="A252" s="208">
        <f>工程量核对表!A251</f>
        <v>2</v>
      </c>
      <c r="B252" s="282" t="str">
        <f>工程量核对表!B251</f>
        <v>石方开挖</v>
      </c>
      <c r="C252" s="210" t="str">
        <f>工程量核对表!C251</f>
        <v>m3</v>
      </c>
      <c r="D252" s="283"/>
      <c r="E252" s="283"/>
      <c r="F252" s="283"/>
      <c r="G252" s="283"/>
      <c r="H252" s="283"/>
      <c r="I252" s="283">
        <v>10.26</v>
      </c>
      <c r="J252" s="284">
        <v>57.04</v>
      </c>
      <c r="K252" s="284"/>
      <c r="L252" s="283">
        <v>585.23</v>
      </c>
      <c r="M252" s="283"/>
      <c r="N252" s="298">
        <f ca="1">工程量核对表!F251</f>
        <v>9.948366</v>
      </c>
      <c r="O252" s="213">
        <f>O41</f>
        <v>53.28</v>
      </c>
      <c r="P252" s="213"/>
      <c r="Q252" s="312">
        <f ca="1" t="shared" si="83"/>
        <v>530.04894048</v>
      </c>
      <c r="R252" s="312"/>
      <c r="S252" s="213">
        <f ca="1" t="shared" si="84"/>
        <v>530.04894048</v>
      </c>
      <c r="T252" s="298">
        <f ca="1" t="shared" si="85"/>
        <v>-55.18105952</v>
      </c>
      <c r="U252" s="313" t="s">
        <v>45</v>
      </c>
    </row>
    <row r="253" s="162" customFormat="1" ht="25" customHeight="1" spans="1:21">
      <c r="A253" s="208">
        <f>工程量核对表!A252</f>
        <v>3</v>
      </c>
      <c r="B253" s="282" t="str">
        <f>工程量核对表!B252</f>
        <v>土石方回填</v>
      </c>
      <c r="C253" s="210" t="str">
        <f>工程量核对表!C252</f>
        <v>m3</v>
      </c>
      <c r="D253" s="283"/>
      <c r="E253" s="283"/>
      <c r="F253" s="283"/>
      <c r="G253" s="283"/>
      <c r="H253" s="283"/>
      <c r="I253" s="283">
        <v>10.2</v>
      </c>
      <c r="J253" s="284">
        <v>24.9</v>
      </c>
      <c r="K253" s="284"/>
      <c r="L253" s="283">
        <v>254.05</v>
      </c>
      <c r="M253" s="283"/>
      <c r="N253" s="298">
        <f ca="1">工程量核对表!F252</f>
        <v>9.324</v>
      </c>
      <c r="O253" s="213">
        <f>O42</f>
        <v>12.18</v>
      </c>
      <c r="P253" s="213"/>
      <c r="Q253" s="312">
        <f ca="1" t="shared" si="83"/>
        <v>113.56632</v>
      </c>
      <c r="R253" s="312"/>
      <c r="S253" s="213">
        <f ca="1" t="shared" si="84"/>
        <v>113.56632</v>
      </c>
      <c r="T253" s="298">
        <f ca="1" t="shared" si="85"/>
        <v>-140.48368</v>
      </c>
      <c r="U253" s="313" t="s">
        <v>45</v>
      </c>
    </row>
    <row r="254" s="162" customFormat="1" ht="25" customHeight="1" spans="1:21">
      <c r="A254" s="215">
        <f>工程量核对表!A253</f>
        <v>4</v>
      </c>
      <c r="B254" s="282" t="str">
        <f>工程量核对表!B253</f>
        <v>C25砼 2级配 32.5水泥 粒径40mm（底板）</v>
      </c>
      <c r="C254" s="210" t="str">
        <f>工程量核对表!C253</f>
        <v>m3</v>
      </c>
      <c r="D254" s="283"/>
      <c r="E254" s="283"/>
      <c r="F254" s="283"/>
      <c r="G254" s="283"/>
      <c r="H254" s="283"/>
      <c r="I254" s="283">
        <v>2.16</v>
      </c>
      <c r="J254" s="284">
        <v>537.51</v>
      </c>
      <c r="K254" s="284"/>
      <c r="L254" s="283">
        <v>1163.44</v>
      </c>
      <c r="M254" s="283"/>
      <c r="N254" s="298">
        <f ca="1">工程量核对表!F253</f>
        <v>2.0535</v>
      </c>
      <c r="O254" s="213">
        <f>O34</f>
        <v>452.81</v>
      </c>
      <c r="P254" s="213"/>
      <c r="Q254" s="312">
        <f ca="1" t="shared" si="83"/>
        <v>929.845335</v>
      </c>
      <c r="R254" s="312"/>
      <c r="S254" s="213">
        <f ca="1" t="shared" si="84"/>
        <v>929.845335</v>
      </c>
      <c r="T254" s="298">
        <f ca="1" t="shared" si="85"/>
        <v>-233.594665</v>
      </c>
      <c r="U254" s="313" t="s">
        <v>45</v>
      </c>
    </row>
    <row r="255" s="162" customFormat="1" ht="25" customHeight="1" spans="1:21">
      <c r="A255" s="216"/>
      <c r="B255" s="282" t="str">
        <f>工程量核对表!B254</f>
        <v>C25砼 2级配 32.5水泥 粒径40mm（侧墙）</v>
      </c>
      <c r="C255" s="210" t="str">
        <f>工程量核对表!C254</f>
        <v>m3</v>
      </c>
      <c r="D255" s="283"/>
      <c r="E255" s="283"/>
      <c r="F255" s="283"/>
      <c r="G255" s="283"/>
      <c r="H255" s="283"/>
      <c r="I255" s="283">
        <v>9.33</v>
      </c>
      <c r="J255" s="284">
        <v>558.92</v>
      </c>
      <c r="K255" s="284"/>
      <c r="L255" s="283">
        <v>5215.39</v>
      </c>
      <c r="M255" s="283"/>
      <c r="N255" s="298">
        <f ca="1">工程量核对表!F254</f>
        <v>7.886592</v>
      </c>
      <c r="O255" s="213">
        <f>O34</f>
        <v>452.81</v>
      </c>
      <c r="P255" s="213"/>
      <c r="Q255" s="312">
        <f ca="1" t="shared" si="83"/>
        <v>3571.12772352</v>
      </c>
      <c r="R255" s="312"/>
      <c r="S255" s="213">
        <f ca="1" t="shared" si="84"/>
        <v>3571.12772352</v>
      </c>
      <c r="T255" s="298">
        <f ca="1" t="shared" si="85"/>
        <v>-1644.26227648</v>
      </c>
      <c r="U255" s="313" t="s">
        <v>45</v>
      </c>
    </row>
    <row r="256" s="162" customFormat="1" ht="25" customHeight="1" spans="1:21">
      <c r="A256" s="217"/>
      <c r="B256" s="282" t="str">
        <f>工程量核对表!B255</f>
        <v>C25砼 2级配 32.5水泥 粒径40mm（顶板）</v>
      </c>
      <c r="C256" s="210" t="str">
        <f>工程量核对表!C255</f>
        <v>m3</v>
      </c>
      <c r="D256" s="283"/>
      <c r="E256" s="283"/>
      <c r="F256" s="283"/>
      <c r="G256" s="283"/>
      <c r="H256" s="283"/>
      <c r="I256" s="283">
        <v>1.55</v>
      </c>
      <c r="J256" s="284">
        <v>592.81</v>
      </c>
      <c r="K256" s="284"/>
      <c r="L256" s="283">
        <v>921.23</v>
      </c>
      <c r="M256" s="283"/>
      <c r="N256" s="298">
        <f ca="1">工程量核对表!F255</f>
        <v>1.20012</v>
      </c>
      <c r="O256" s="213">
        <f>O34</f>
        <v>452.81</v>
      </c>
      <c r="P256" s="213"/>
      <c r="Q256" s="312">
        <f ca="1" t="shared" si="83"/>
        <v>543.4263372</v>
      </c>
      <c r="R256" s="312"/>
      <c r="S256" s="213">
        <f ca="1" t="shared" si="84"/>
        <v>543.4263372</v>
      </c>
      <c r="T256" s="298">
        <f ca="1" t="shared" si="85"/>
        <v>-377.8036628</v>
      </c>
      <c r="U256" s="313" t="s">
        <v>45</v>
      </c>
    </row>
    <row r="257" s="162" customFormat="1" ht="25" customHeight="1" spans="1:21">
      <c r="A257" s="208">
        <f>工程量核对表!A256</f>
        <v>5</v>
      </c>
      <c r="B257" s="282" t="str">
        <f>工程量核对表!B256</f>
        <v>M7.5砖砌</v>
      </c>
      <c r="C257" s="210" t="str">
        <f>工程量核对表!C256</f>
        <v>m3</v>
      </c>
      <c r="D257" s="283"/>
      <c r="E257" s="283"/>
      <c r="F257" s="283"/>
      <c r="G257" s="283"/>
      <c r="H257" s="283"/>
      <c r="I257" s="283"/>
      <c r="J257" s="284"/>
      <c r="K257" s="284"/>
      <c r="L257" s="283"/>
      <c r="M257" s="283"/>
      <c r="N257" s="298">
        <f ca="1">工程量核对表!F256</f>
        <v>0</v>
      </c>
      <c r="O257" s="213">
        <f>O36</f>
        <v>418.59</v>
      </c>
      <c r="P257" s="213"/>
      <c r="Q257" s="312">
        <f ca="1" t="shared" si="83"/>
        <v>0</v>
      </c>
      <c r="R257" s="312"/>
      <c r="S257" s="213">
        <f ca="1" t="shared" si="84"/>
        <v>0</v>
      </c>
      <c r="T257" s="298">
        <f ca="1" t="shared" si="85"/>
        <v>0</v>
      </c>
      <c r="U257" s="313" t="s">
        <v>45</v>
      </c>
    </row>
    <row r="258" s="162" customFormat="1" ht="25" customHeight="1" spans="1:21">
      <c r="A258" s="208">
        <f>工程量核对表!A257</f>
        <v>6</v>
      </c>
      <c r="B258" s="282" t="str">
        <f>工程量核对表!B257</f>
        <v>木模制安</v>
      </c>
      <c r="C258" s="210" t="str">
        <f>工程量核对表!C257</f>
        <v>m2</v>
      </c>
      <c r="D258" s="283"/>
      <c r="E258" s="283"/>
      <c r="F258" s="283"/>
      <c r="G258" s="283"/>
      <c r="H258" s="283"/>
      <c r="I258" s="283">
        <v>91.49</v>
      </c>
      <c r="J258" s="284">
        <v>58.41</v>
      </c>
      <c r="K258" s="284"/>
      <c r="L258" s="283">
        <v>5343.79</v>
      </c>
      <c r="M258" s="283"/>
      <c r="N258" s="298">
        <f ca="1">工程量核对表!F257</f>
        <v>74.5958</v>
      </c>
      <c r="O258" s="213">
        <f>O37</f>
        <v>59.86</v>
      </c>
      <c r="P258" s="213"/>
      <c r="Q258" s="312">
        <f ca="1" t="shared" si="83"/>
        <v>4465.304588</v>
      </c>
      <c r="R258" s="312"/>
      <c r="S258" s="213">
        <f ca="1" t="shared" si="84"/>
        <v>4465.304588</v>
      </c>
      <c r="T258" s="298">
        <f ca="1" t="shared" si="85"/>
        <v>-878.485411999999</v>
      </c>
      <c r="U258" s="313" t="s">
        <v>45</v>
      </c>
    </row>
    <row r="259" s="162" customFormat="1" ht="25" customHeight="1" spans="1:21">
      <c r="A259" s="208">
        <f>工程量核对表!A258</f>
        <v>7</v>
      </c>
      <c r="B259" s="282" t="str">
        <f>工程量核对表!B258</f>
        <v>钢筋制安</v>
      </c>
      <c r="C259" s="210" t="s">
        <v>57</v>
      </c>
      <c r="D259" s="283"/>
      <c r="E259" s="283"/>
      <c r="F259" s="283"/>
      <c r="G259" s="283"/>
      <c r="H259" s="283"/>
      <c r="I259" s="283">
        <v>0.61</v>
      </c>
      <c r="J259" s="284">
        <v>6596.11</v>
      </c>
      <c r="K259" s="284"/>
      <c r="L259" s="283">
        <v>4038.39</v>
      </c>
      <c r="M259" s="283"/>
      <c r="N259" s="298">
        <f ca="1">工程量核对表!F258/1000</f>
        <v>0.51652149</v>
      </c>
      <c r="O259" s="213">
        <f>O38</f>
        <v>5920</v>
      </c>
      <c r="P259" s="213"/>
      <c r="Q259" s="312">
        <f ca="1" t="shared" si="83"/>
        <v>3057.8072208</v>
      </c>
      <c r="R259" s="312"/>
      <c r="S259" s="213">
        <f ca="1" t="shared" si="84"/>
        <v>3057.8072208</v>
      </c>
      <c r="T259" s="298">
        <f ca="1" t="shared" si="85"/>
        <v>-980.5827792</v>
      </c>
      <c r="U259" s="313" t="s">
        <v>58</v>
      </c>
    </row>
    <row r="260" s="162" customFormat="1" ht="25" customHeight="1" spans="1:21">
      <c r="A260" s="208">
        <f>工程量核对表!A259</f>
        <v>8</v>
      </c>
      <c r="B260" s="282" t="str">
        <f>工程量核对表!B259</f>
        <v>M10沙浆抹面</v>
      </c>
      <c r="C260" s="210" t="str">
        <f>工程量核对表!C259</f>
        <v>m2</v>
      </c>
      <c r="D260" s="283"/>
      <c r="E260" s="283"/>
      <c r="F260" s="283"/>
      <c r="G260" s="283"/>
      <c r="H260" s="283"/>
      <c r="I260" s="283">
        <v>47.57</v>
      </c>
      <c r="J260" s="284">
        <v>17.05</v>
      </c>
      <c r="K260" s="284"/>
      <c r="L260" s="283">
        <v>811.03</v>
      </c>
      <c r="M260" s="283"/>
      <c r="N260" s="298">
        <f ca="1">工程量核对表!F259</f>
        <v>0</v>
      </c>
      <c r="O260" s="213">
        <f>O39</f>
        <v>11.93</v>
      </c>
      <c r="P260" s="213"/>
      <c r="Q260" s="312">
        <f ca="1" t="shared" si="83"/>
        <v>0</v>
      </c>
      <c r="R260" s="312"/>
      <c r="S260" s="213">
        <f ca="1" t="shared" si="84"/>
        <v>0</v>
      </c>
      <c r="T260" s="298">
        <f ca="1" t="shared" si="85"/>
        <v>-811.03</v>
      </c>
      <c r="U260" s="313" t="s">
        <v>45</v>
      </c>
    </row>
    <row r="261" s="162" customFormat="1" ht="25" customHeight="1" spans="1:21">
      <c r="A261" s="208">
        <f>工程量核对表!A260</f>
        <v>9</v>
      </c>
      <c r="B261" s="282" t="str">
        <f>工程量核对表!B260</f>
        <v>M10沙浆抹面瓷砖粘贴</v>
      </c>
      <c r="C261" s="210" t="str">
        <f>工程量核对表!C260</f>
        <v>m2</v>
      </c>
      <c r="D261" s="283"/>
      <c r="E261" s="283"/>
      <c r="F261" s="283"/>
      <c r="G261" s="283"/>
      <c r="H261" s="283"/>
      <c r="I261" s="283">
        <v>23.07</v>
      </c>
      <c r="J261" s="284">
        <v>95.34</v>
      </c>
      <c r="K261" s="284"/>
      <c r="L261" s="283">
        <v>2199.65</v>
      </c>
      <c r="M261" s="283"/>
      <c r="N261" s="298">
        <f ca="1">工程量核对表!F260</f>
        <v>19.11</v>
      </c>
      <c r="O261" s="213">
        <f>O20</f>
        <v>88.6318432432432</v>
      </c>
      <c r="P261" s="213"/>
      <c r="Q261" s="312">
        <f ca="1" t="shared" si="83"/>
        <v>1693.75452437838</v>
      </c>
      <c r="R261" s="312"/>
      <c r="S261" s="213">
        <f ca="1" t="shared" si="84"/>
        <v>1693.75452437838</v>
      </c>
      <c r="T261" s="298">
        <f ca="1" t="shared" si="85"/>
        <v>-505.895475621623</v>
      </c>
      <c r="U261" s="313" t="s">
        <v>45</v>
      </c>
    </row>
    <row r="262" s="162" customFormat="1" ht="25" customHeight="1" spans="1:21">
      <c r="A262" s="208">
        <f>工程量核对表!A261</f>
        <v>10</v>
      </c>
      <c r="B262" s="282" t="str">
        <f>工程量核对表!B261</f>
        <v>人力二次转运材料（运距300米)</v>
      </c>
      <c r="C262" s="210" t="str">
        <f>工程量核对表!C261</f>
        <v>吨/km</v>
      </c>
      <c r="D262" s="283"/>
      <c r="E262" s="283"/>
      <c r="F262" s="283"/>
      <c r="G262" s="283"/>
      <c r="H262" s="283"/>
      <c r="I262" s="283"/>
      <c r="J262" s="284"/>
      <c r="K262" s="284"/>
      <c r="L262" s="283"/>
      <c r="M262" s="283"/>
      <c r="N262" s="298">
        <f ca="1">工程量核对表!F261</f>
        <v>0</v>
      </c>
      <c r="O262" s="213"/>
      <c r="P262" s="213"/>
      <c r="Q262" s="312">
        <f ca="1" t="shared" si="83"/>
        <v>0</v>
      </c>
      <c r="R262" s="312"/>
      <c r="S262" s="213">
        <f ca="1" t="shared" si="84"/>
        <v>0</v>
      </c>
      <c r="T262" s="298">
        <f ca="1" t="shared" si="85"/>
        <v>0</v>
      </c>
      <c r="U262" s="313"/>
    </row>
    <row r="263" s="162" customFormat="1" ht="25" customHeight="1" spans="1:21">
      <c r="A263" s="208">
        <f>工程量核对表!A262</f>
        <v>11</v>
      </c>
      <c r="B263" s="282" t="str">
        <f>工程量核对表!B262</f>
        <v>通气进人孔</v>
      </c>
      <c r="C263" s="210" t="str">
        <f>工程量核对表!C262</f>
        <v>套</v>
      </c>
      <c r="D263" s="283"/>
      <c r="E263" s="283"/>
      <c r="F263" s="283"/>
      <c r="G263" s="283"/>
      <c r="H263" s="283"/>
      <c r="I263" s="283">
        <v>1</v>
      </c>
      <c r="J263" s="284">
        <v>500</v>
      </c>
      <c r="K263" s="284"/>
      <c r="L263" s="283">
        <v>500</v>
      </c>
      <c r="M263" s="283"/>
      <c r="N263" s="298">
        <f ca="1">工程量核对表!F262</f>
        <v>1</v>
      </c>
      <c r="O263" s="213">
        <f>O22</f>
        <v>464.81981981982</v>
      </c>
      <c r="P263" s="213"/>
      <c r="Q263" s="312">
        <f ca="1" t="shared" si="83"/>
        <v>464.81981981982</v>
      </c>
      <c r="R263" s="312"/>
      <c r="S263" s="213">
        <f ca="1" t="shared" si="84"/>
        <v>464.81981981982</v>
      </c>
      <c r="T263" s="298">
        <f ca="1" t="shared" si="85"/>
        <v>-35.18018018018</v>
      </c>
      <c r="U263" s="313" t="s">
        <v>45</v>
      </c>
    </row>
    <row r="264" s="162" customFormat="1" ht="25" customHeight="1" spans="1:21">
      <c r="A264" s="208" t="str">
        <f>工程量核对表!A263</f>
        <v>新增</v>
      </c>
      <c r="B264" s="282" t="str">
        <f>工程量核对表!B263</f>
        <v>电力线</v>
      </c>
      <c r="C264" s="210" t="str">
        <f>工程量核对表!C263</f>
        <v>m</v>
      </c>
      <c r="D264" s="283"/>
      <c r="E264" s="283"/>
      <c r="F264" s="283"/>
      <c r="G264" s="283"/>
      <c r="H264" s="283"/>
      <c r="I264" s="283"/>
      <c r="J264" s="284"/>
      <c r="K264" s="284"/>
      <c r="L264" s="283"/>
      <c r="M264" s="283"/>
      <c r="N264" s="298">
        <f ca="1">工程量核对表!F263</f>
        <v>150</v>
      </c>
      <c r="O264" s="213">
        <f>O23</f>
        <v>46.481981981982</v>
      </c>
      <c r="P264" s="213"/>
      <c r="Q264" s="312">
        <f ca="1" t="shared" si="83"/>
        <v>6972.2972972973</v>
      </c>
      <c r="R264" s="312"/>
      <c r="S264" s="213">
        <f ca="1" t="shared" si="84"/>
        <v>6972.2972972973</v>
      </c>
      <c r="T264" s="298">
        <f ca="1" t="shared" si="85"/>
        <v>6972.2972972973</v>
      </c>
      <c r="U264" s="313" t="s">
        <v>45</v>
      </c>
    </row>
    <row r="265" s="162" customFormat="1" ht="25" customHeight="1" spans="1:21">
      <c r="A265" s="208" t="str">
        <f>工程量核对表!A264</f>
        <v>新增</v>
      </c>
      <c r="B265" s="282" t="str">
        <f>工程量核对表!B264</f>
        <v>杀毒器</v>
      </c>
      <c r="C265" s="210" t="str">
        <f>工程量核对表!C264</f>
        <v>台</v>
      </c>
      <c r="D265" s="283"/>
      <c r="E265" s="283"/>
      <c r="F265" s="283"/>
      <c r="G265" s="283"/>
      <c r="H265" s="283"/>
      <c r="I265" s="283"/>
      <c r="J265" s="284"/>
      <c r="K265" s="284"/>
      <c r="L265" s="283"/>
      <c r="M265" s="283"/>
      <c r="N265" s="298">
        <f ca="1">工程量核对表!F264</f>
        <v>1</v>
      </c>
      <c r="O265" s="213">
        <f>O24</f>
        <v>7437.11711711712</v>
      </c>
      <c r="P265" s="213"/>
      <c r="Q265" s="312">
        <f ca="1" t="shared" si="83"/>
        <v>7437.11711711712</v>
      </c>
      <c r="R265" s="312"/>
      <c r="S265" s="213">
        <f ca="1" t="shared" si="84"/>
        <v>7437.11711711712</v>
      </c>
      <c r="T265" s="298">
        <f ca="1" t="shared" si="85"/>
        <v>7437.11711711712</v>
      </c>
      <c r="U265" s="313" t="s">
        <v>45</v>
      </c>
    </row>
    <row r="266" s="162" customFormat="1" ht="25" customHeight="1" spans="1:21">
      <c r="A266" s="208" t="str">
        <f>工程量核对表!A265</f>
        <v>新增</v>
      </c>
      <c r="B266" s="282" t="str">
        <f>工程量核对表!B265</f>
        <v>C20砼垫层</v>
      </c>
      <c r="C266" s="210" t="str">
        <f>工程量核对表!C265</f>
        <v>m3</v>
      </c>
      <c r="D266" s="283"/>
      <c r="E266" s="283"/>
      <c r="F266" s="283"/>
      <c r="G266" s="283"/>
      <c r="H266" s="283"/>
      <c r="I266" s="283">
        <v>0.72</v>
      </c>
      <c r="J266" s="284">
        <v>531.58</v>
      </c>
      <c r="K266" s="284"/>
      <c r="L266" s="283">
        <v>383.53</v>
      </c>
      <c r="M266" s="283"/>
      <c r="N266" s="298">
        <f ca="1">工程量核对表!F265</f>
        <v>0.6845</v>
      </c>
      <c r="O266" s="213">
        <f>O27</f>
        <v>448.73</v>
      </c>
      <c r="P266" s="213"/>
      <c r="Q266" s="312">
        <f ca="1" t="shared" si="83"/>
        <v>307.155685</v>
      </c>
      <c r="R266" s="312"/>
      <c r="S266" s="213">
        <f ca="1" t="shared" si="84"/>
        <v>307.155685</v>
      </c>
      <c r="T266" s="298">
        <f ca="1" t="shared" si="85"/>
        <v>-76.3743149999999</v>
      </c>
      <c r="U266" s="313" t="s">
        <v>59</v>
      </c>
    </row>
    <row r="267" s="162" customFormat="1" ht="25" customHeight="1" spans="1:21">
      <c r="A267" s="208" t="str">
        <f>工程量核对表!A266</f>
        <v>新增</v>
      </c>
      <c r="B267" s="282" t="str">
        <f>工程量核对表!B266</f>
        <v>爬梯制安</v>
      </c>
      <c r="C267" s="210" t="str">
        <f>工程量核对表!C266</f>
        <v>步</v>
      </c>
      <c r="D267" s="283"/>
      <c r="E267" s="283"/>
      <c r="F267" s="283"/>
      <c r="G267" s="283"/>
      <c r="H267" s="283"/>
      <c r="I267" s="283">
        <v>8</v>
      </c>
      <c r="J267" s="284">
        <v>61.4</v>
      </c>
      <c r="K267" s="284"/>
      <c r="L267" s="283">
        <v>491.2</v>
      </c>
      <c r="M267" s="283"/>
      <c r="N267" s="298">
        <f ca="1">工程量核对表!F266</f>
        <v>8</v>
      </c>
      <c r="O267" s="213">
        <f>O28</f>
        <v>57.0798738738739</v>
      </c>
      <c r="P267" s="213"/>
      <c r="Q267" s="312">
        <f ca="1" t="shared" si="83"/>
        <v>456.638990990991</v>
      </c>
      <c r="R267" s="312"/>
      <c r="S267" s="213">
        <f ca="1" t="shared" si="84"/>
        <v>456.638990990991</v>
      </c>
      <c r="T267" s="298">
        <f ca="1" t="shared" si="85"/>
        <v>-34.5610090090088</v>
      </c>
      <c r="U267" s="313" t="s">
        <v>60</v>
      </c>
    </row>
    <row r="268" s="162" customFormat="1" ht="25" customHeight="1" spans="1:21">
      <c r="A268" s="208" t="str">
        <f>工程量核对表!A267</f>
        <v>新增</v>
      </c>
      <c r="B268" s="282" t="str">
        <f>工程量核对表!B267</f>
        <v>脚手架</v>
      </c>
      <c r="C268" s="210" t="str">
        <f>工程量核对表!C267</f>
        <v>m2</v>
      </c>
      <c r="D268" s="283"/>
      <c r="E268" s="283"/>
      <c r="F268" s="283"/>
      <c r="G268" s="283"/>
      <c r="H268" s="283"/>
      <c r="I268" s="283">
        <v>11.28</v>
      </c>
      <c r="J268" s="284">
        <v>17.93</v>
      </c>
      <c r="K268" s="284"/>
      <c r="L268" s="283">
        <v>202.24</v>
      </c>
      <c r="M268" s="283"/>
      <c r="N268" s="298">
        <f ca="1">工程量核对表!F267</f>
        <v>0</v>
      </c>
      <c r="O268" s="213">
        <f>J268/1.11*1.0319</f>
        <v>16.6684387387387</v>
      </c>
      <c r="P268" s="213"/>
      <c r="Q268" s="312">
        <f ca="1" t="shared" si="83"/>
        <v>0</v>
      </c>
      <c r="R268" s="312"/>
      <c r="S268" s="213">
        <f ca="1" t="shared" si="84"/>
        <v>0</v>
      </c>
      <c r="T268" s="298">
        <f ca="1" t="shared" si="85"/>
        <v>-202.24</v>
      </c>
      <c r="U268" s="313"/>
    </row>
    <row r="269" s="162" customFormat="1" ht="25" customHeight="1" spans="1:21">
      <c r="A269" s="208" t="str">
        <f>工程量核对表!A268</f>
        <v>新增</v>
      </c>
      <c r="B269" s="282" t="str">
        <f>工程量核对表!B268</f>
        <v>池顶不锈钢护栏</v>
      </c>
      <c r="C269" s="210" t="str">
        <f>工程量核对表!C268</f>
        <v>m2</v>
      </c>
      <c r="D269" s="283"/>
      <c r="E269" s="283"/>
      <c r="F269" s="283"/>
      <c r="G269" s="283"/>
      <c r="H269" s="283"/>
      <c r="I269" s="283">
        <v>21.6</v>
      </c>
      <c r="J269" s="284">
        <v>150</v>
      </c>
      <c r="K269" s="284"/>
      <c r="L269" s="283">
        <v>3240</v>
      </c>
      <c r="M269" s="283"/>
      <c r="N269" s="298">
        <f ca="1">工程量核对表!F268</f>
        <v>21</v>
      </c>
      <c r="O269" s="213">
        <f>O30</f>
        <v>139.445945945946</v>
      </c>
      <c r="P269" s="213"/>
      <c r="Q269" s="312">
        <f ca="1" t="shared" si="83"/>
        <v>2928.36486486487</v>
      </c>
      <c r="R269" s="312"/>
      <c r="S269" s="213">
        <f ca="1" t="shared" si="84"/>
        <v>2928.36486486487</v>
      </c>
      <c r="T269" s="298">
        <f ca="1" t="shared" si="85"/>
        <v>-311.635135135134</v>
      </c>
      <c r="U269" s="313" t="s">
        <v>45</v>
      </c>
    </row>
    <row r="270" s="162" customFormat="1" ht="25" customHeight="1" spans="1:21">
      <c r="A270" s="208" t="str">
        <f>工程量核对表!A269</f>
        <v>新增</v>
      </c>
      <c r="B270" s="282" t="str">
        <f>工程量核对表!B269</f>
        <v>饮水安全标志牌</v>
      </c>
      <c r="C270" s="210" t="str">
        <f>工程量核对表!C269</f>
        <v>个</v>
      </c>
      <c r="D270" s="283"/>
      <c r="E270" s="283"/>
      <c r="F270" s="283"/>
      <c r="G270" s="283"/>
      <c r="H270" s="283"/>
      <c r="I270" s="283">
        <v>1</v>
      </c>
      <c r="J270" s="284">
        <v>100</v>
      </c>
      <c r="K270" s="284"/>
      <c r="L270" s="283">
        <v>100</v>
      </c>
      <c r="M270" s="283"/>
      <c r="N270" s="298">
        <f ca="1">工程量核对表!F269</f>
        <v>1</v>
      </c>
      <c r="O270" s="213">
        <f>O31</f>
        <v>92.963963963964</v>
      </c>
      <c r="P270" s="213"/>
      <c r="Q270" s="312">
        <f ca="1" t="shared" si="83"/>
        <v>92.963963963964</v>
      </c>
      <c r="R270" s="312"/>
      <c r="S270" s="213">
        <f ca="1" t="shared" si="84"/>
        <v>92.963963963964</v>
      </c>
      <c r="T270" s="298">
        <f ca="1" t="shared" si="85"/>
        <v>-7.03603603603599</v>
      </c>
      <c r="U270" s="313" t="s">
        <v>60</v>
      </c>
    </row>
    <row r="271" s="162" customFormat="1" ht="25" customHeight="1" spans="1:21">
      <c r="A271" s="278" t="str">
        <f>工程量核对表!A270</f>
        <v>（二）</v>
      </c>
      <c r="B271" s="279" t="str">
        <f>工程量核对表!B270</f>
        <v>闸室工程</v>
      </c>
      <c r="C271" s="280"/>
      <c r="D271" s="281"/>
      <c r="E271" s="281"/>
      <c r="F271" s="281"/>
      <c r="G271" s="281"/>
      <c r="H271" s="281"/>
      <c r="I271" s="281"/>
      <c r="J271" s="285"/>
      <c r="K271" s="285"/>
      <c r="L271" s="281">
        <v>884.65</v>
      </c>
      <c r="M271" s="281"/>
      <c r="N271" s="296"/>
      <c r="O271" s="297"/>
      <c r="P271" s="297"/>
      <c r="Q271" s="310">
        <f ca="1">SUM(Q272:Q280)</f>
        <v>521.4844728</v>
      </c>
      <c r="R271" s="310"/>
      <c r="S271" s="310">
        <f ca="1" t="shared" ref="Q271:T271" si="86">SUM(S272:S280)</f>
        <v>521.4844728</v>
      </c>
      <c r="T271" s="310">
        <f ca="1" t="shared" si="86"/>
        <v>-363.1755272</v>
      </c>
      <c r="U271" s="311"/>
    </row>
    <row r="272" s="162" customFormat="1" ht="25" customHeight="1" spans="1:21">
      <c r="A272" s="208">
        <f>工程量核对表!A271</f>
        <v>1</v>
      </c>
      <c r="B272" s="282" t="str">
        <f>工程量核对表!B271</f>
        <v>土方开挖</v>
      </c>
      <c r="C272" s="210" t="str">
        <f>工程量核对表!C271</f>
        <v>m3</v>
      </c>
      <c r="D272" s="283"/>
      <c r="E272" s="283"/>
      <c r="F272" s="283"/>
      <c r="G272" s="283"/>
      <c r="H272" s="283"/>
      <c r="I272" s="283">
        <v>0.84</v>
      </c>
      <c r="J272" s="284">
        <v>19.7</v>
      </c>
      <c r="K272" s="284"/>
      <c r="L272" s="283">
        <v>16.55</v>
      </c>
      <c r="M272" s="283"/>
      <c r="N272" s="298">
        <f ca="1">工程量核对表!F271</f>
        <v>0.728</v>
      </c>
      <c r="O272" s="213">
        <f>O33</f>
        <v>12.15</v>
      </c>
      <c r="P272" s="213"/>
      <c r="Q272" s="312">
        <f ca="1" t="shared" ref="Q272:Q280" si="87">N272*O272</f>
        <v>8.8452</v>
      </c>
      <c r="R272" s="312"/>
      <c r="S272" s="213">
        <f ca="1" t="shared" ref="S272:S280" si="88">Q272-G272</f>
        <v>8.8452</v>
      </c>
      <c r="T272" s="298">
        <f ca="1" t="shared" ref="T272:T280" si="89">Q272-L272</f>
        <v>-7.7048</v>
      </c>
      <c r="U272" s="313" t="s">
        <v>45</v>
      </c>
    </row>
    <row r="273" s="162" customFormat="1" ht="25" customHeight="1" spans="1:21">
      <c r="A273" s="208">
        <f>工程量核对表!A272</f>
        <v>2</v>
      </c>
      <c r="B273" s="282" t="str">
        <f>工程量核对表!B272</f>
        <v>石方开挖</v>
      </c>
      <c r="C273" s="210" t="str">
        <f>工程量核对表!C272</f>
        <v>m3</v>
      </c>
      <c r="D273" s="283"/>
      <c r="E273" s="283"/>
      <c r="F273" s="283"/>
      <c r="G273" s="283"/>
      <c r="H273" s="283"/>
      <c r="I273" s="283">
        <v>0.84</v>
      </c>
      <c r="J273" s="284">
        <v>57.04</v>
      </c>
      <c r="K273" s="284"/>
      <c r="L273" s="283">
        <v>47.91</v>
      </c>
      <c r="M273" s="283"/>
      <c r="N273" s="298">
        <f ca="1">工程量核对表!F272</f>
        <v>0.728</v>
      </c>
      <c r="O273" s="213">
        <f>O41</f>
        <v>53.28</v>
      </c>
      <c r="P273" s="213"/>
      <c r="Q273" s="312">
        <f ca="1" t="shared" si="87"/>
        <v>38.78784</v>
      </c>
      <c r="R273" s="312"/>
      <c r="S273" s="213">
        <f ca="1" t="shared" si="88"/>
        <v>38.78784</v>
      </c>
      <c r="T273" s="298">
        <f ca="1" t="shared" si="89"/>
        <v>-9.12215999999999</v>
      </c>
      <c r="U273" s="313" t="s">
        <v>45</v>
      </c>
    </row>
    <row r="274" s="162" customFormat="1" ht="25" customHeight="1" spans="1:21">
      <c r="A274" s="208">
        <f>工程量核对表!A273</f>
        <v>3</v>
      </c>
      <c r="B274" s="282" t="str">
        <f>工程量核对表!B273</f>
        <v>土石方回填</v>
      </c>
      <c r="C274" s="210" t="str">
        <f>工程量核对表!C273</f>
        <v>m3</v>
      </c>
      <c r="D274" s="283"/>
      <c r="E274" s="283"/>
      <c r="F274" s="283"/>
      <c r="G274" s="283"/>
      <c r="H274" s="283"/>
      <c r="I274" s="283">
        <v>0.34</v>
      </c>
      <c r="J274" s="284">
        <v>24.9</v>
      </c>
      <c r="K274" s="284"/>
      <c r="L274" s="283">
        <v>8.54</v>
      </c>
      <c r="M274" s="283"/>
      <c r="N274" s="298">
        <f ca="1">工程量核对表!F273</f>
        <v>0.322</v>
      </c>
      <c r="O274" s="213">
        <f>O54</f>
        <v>31.19</v>
      </c>
      <c r="P274" s="213"/>
      <c r="Q274" s="312">
        <f ca="1" t="shared" si="87"/>
        <v>10.04318</v>
      </c>
      <c r="R274" s="312"/>
      <c r="S274" s="213">
        <f ca="1" t="shared" si="88"/>
        <v>10.04318</v>
      </c>
      <c r="T274" s="298">
        <f ca="1" t="shared" si="89"/>
        <v>1.50318</v>
      </c>
      <c r="U274" s="313" t="s">
        <v>45</v>
      </c>
    </row>
    <row r="275" s="162" customFormat="1" ht="25" customHeight="1" spans="1:21">
      <c r="A275" s="208">
        <f>工程量核对表!A274</f>
        <v>4</v>
      </c>
      <c r="B275" s="282" t="str">
        <f>工程量核对表!B274</f>
        <v>C25混凝土底板浇筑【资料C20】</v>
      </c>
      <c r="C275" s="210" t="str">
        <f>工程量核对表!C274</f>
        <v>m3</v>
      </c>
      <c r="D275" s="283"/>
      <c r="E275" s="283"/>
      <c r="F275" s="283"/>
      <c r="G275" s="283"/>
      <c r="H275" s="283"/>
      <c r="I275" s="283">
        <v>0.23</v>
      </c>
      <c r="J275" s="284">
        <v>537.51</v>
      </c>
      <c r="K275" s="284"/>
      <c r="L275" s="283">
        <v>120.94</v>
      </c>
      <c r="M275" s="283"/>
      <c r="N275" s="298">
        <f ca="1">工程量核对表!F274</f>
        <v>0.198</v>
      </c>
      <c r="O275" s="213">
        <f>O27</f>
        <v>448.73</v>
      </c>
      <c r="P275" s="213"/>
      <c r="Q275" s="312">
        <f ca="1" t="shared" si="87"/>
        <v>88.84854</v>
      </c>
      <c r="R275" s="312"/>
      <c r="S275" s="213">
        <f ca="1" t="shared" si="88"/>
        <v>88.84854</v>
      </c>
      <c r="T275" s="298">
        <f ca="1" t="shared" si="89"/>
        <v>-32.09146</v>
      </c>
      <c r="U275" s="313" t="s">
        <v>59</v>
      </c>
    </row>
    <row r="276" s="162" customFormat="1" ht="25" customHeight="1" spans="1:21">
      <c r="A276" s="208">
        <f>工程量核对表!A275</f>
        <v>5</v>
      </c>
      <c r="B276" s="282" t="str">
        <f>工程量核对表!B275</f>
        <v>M7.5砖砌围墙</v>
      </c>
      <c r="C276" s="210" t="str">
        <f>工程量核对表!C275</f>
        <v>m3</v>
      </c>
      <c r="D276" s="283"/>
      <c r="E276" s="283"/>
      <c r="F276" s="283"/>
      <c r="G276" s="283"/>
      <c r="H276" s="283"/>
      <c r="I276" s="283">
        <v>0.82</v>
      </c>
      <c r="J276" s="284">
        <v>582.15</v>
      </c>
      <c r="K276" s="284"/>
      <c r="L276" s="283">
        <v>479.23</v>
      </c>
      <c r="M276" s="283"/>
      <c r="N276" s="298">
        <f ca="1">工程量核对表!F275</f>
        <v>0.61152</v>
      </c>
      <c r="O276" s="213">
        <f>O47</f>
        <v>418.59</v>
      </c>
      <c r="P276" s="213"/>
      <c r="Q276" s="312">
        <f ca="1" t="shared" si="87"/>
        <v>255.9761568</v>
      </c>
      <c r="R276" s="312"/>
      <c r="S276" s="213">
        <f ca="1" t="shared" si="88"/>
        <v>255.9761568</v>
      </c>
      <c r="T276" s="298">
        <f ca="1" t="shared" si="89"/>
        <v>-223.2538432</v>
      </c>
      <c r="U276" s="313" t="s">
        <v>45</v>
      </c>
    </row>
    <row r="277" s="162" customFormat="1" ht="25" customHeight="1" spans="1:21">
      <c r="A277" s="208">
        <f>工程量核对表!A276</f>
        <v>6</v>
      </c>
      <c r="B277" s="282" t="str">
        <f>工程量核对表!B276</f>
        <v>M10沙浆抹面</v>
      </c>
      <c r="C277" s="210" t="str">
        <f>工程量核对表!C276</f>
        <v>m2</v>
      </c>
      <c r="D277" s="283"/>
      <c r="E277" s="283"/>
      <c r="F277" s="283"/>
      <c r="G277" s="283"/>
      <c r="H277" s="283"/>
      <c r="I277" s="283">
        <v>3.1</v>
      </c>
      <c r="J277" s="284">
        <v>17.05</v>
      </c>
      <c r="K277" s="284"/>
      <c r="L277" s="283">
        <v>52.84</v>
      </c>
      <c r="M277" s="283"/>
      <c r="N277" s="298">
        <f ca="1">工程量核对表!F276</f>
        <v>0</v>
      </c>
      <c r="O277" s="213">
        <f>O39</f>
        <v>11.93</v>
      </c>
      <c r="P277" s="213"/>
      <c r="Q277" s="312">
        <f ca="1" t="shared" si="87"/>
        <v>0</v>
      </c>
      <c r="R277" s="312"/>
      <c r="S277" s="213">
        <f ca="1" t="shared" si="88"/>
        <v>0</v>
      </c>
      <c r="T277" s="298">
        <f ca="1" t="shared" si="89"/>
        <v>-52.84</v>
      </c>
      <c r="U277" s="313" t="s">
        <v>45</v>
      </c>
    </row>
    <row r="278" s="162" customFormat="1" ht="25" customHeight="1" spans="1:21">
      <c r="A278" s="208" t="str">
        <f>工程量核对表!A277</f>
        <v>新增</v>
      </c>
      <c r="B278" s="282" t="str">
        <f>工程量核对表!B277</f>
        <v>C25混凝土顶板浇筑</v>
      </c>
      <c r="C278" s="210" t="str">
        <f>工程量核对表!C277</f>
        <v>m3</v>
      </c>
      <c r="D278" s="283"/>
      <c r="E278" s="283"/>
      <c r="F278" s="283"/>
      <c r="G278" s="283"/>
      <c r="H278" s="283"/>
      <c r="I278" s="283">
        <v>0.11</v>
      </c>
      <c r="J278" s="284">
        <v>592.81</v>
      </c>
      <c r="K278" s="284"/>
      <c r="L278" s="283">
        <v>62.25</v>
      </c>
      <c r="M278" s="283"/>
      <c r="N278" s="298">
        <f ca="1">工程量核对表!F277</f>
        <v>0.0924</v>
      </c>
      <c r="O278" s="213">
        <f>O34</f>
        <v>452.81</v>
      </c>
      <c r="P278" s="213"/>
      <c r="Q278" s="312">
        <f ca="1" t="shared" si="87"/>
        <v>41.839644</v>
      </c>
      <c r="R278" s="312"/>
      <c r="S278" s="213">
        <f ca="1" t="shared" si="88"/>
        <v>41.839644</v>
      </c>
      <c r="T278" s="298">
        <f ca="1" t="shared" si="89"/>
        <v>-20.410356</v>
      </c>
      <c r="U278" s="313" t="s">
        <v>45</v>
      </c>
    </row>
    <row r="279" s="162" customFormat="1" ht="25" customHeight="1" spans="1:21">
      <c r="A279" s="208" t="str">
        <f>工程量核对表!A278</f>
        <v>新增</v>
      </c>
      <c r="B279" s="282" t="str">
        <f>工程量核对表!B278</f>
        <v>木模制安</v>
      </c>
      <c r="C279" s="210" t="str">
        <f>工程量核对表!C278</f>
        <v>m2</v>
      </c>
      <c r="D279" s="283"/>
      <c r="E279" s="283"/>
      <c r="F279" s="283"/>
      <c r="G279" s="283"/>
      <c r="H279" s="283"/>
      <c r="I279" s="283">
        <v>0.9</v>
      </c>
      <c r="J279" s="284">
        <v>58.41</v>
      </c>
      <c r="K279" s="284"/>
      <c r="L279" s="283">
        <v>52.42</v>
      </c>
      <c r="M279" s="283"/>
      <c r="N279" s="298">
        <f ca="1">工程量核对表!F278</f>
        <v>0.7684</v>
      </c>
      <c r="O279" s="213">
        <f>O37</f>
        <v>59.86</v>
      </c>
      <c r="P279" s="213"/>
      <c r="Q279" s="312">
        <f ca="1" t="shared" si="87"/>
        <v>45.996424</v>
      </c>
      <c r="R279" s="312"/>
      <c r="S279" s="213">
        <f ca="1" t="shared" si="88"/>
        <v>45.996424</v>
      </c>
      <c r="T279" s="298">
        <f ca="1" t="shared" si="89"/>
        <v>-6.423576</v>
      </c>
      <c r="U279" s="313" t="s">
        <v>45</v>
      </c>
    </row>
    <row r="280" s="162" customFormat="1" ht="25" customHeight="1" spans="1:21">
      <c r="A280" s="208" t="str">
        <f>工程量核对表!A279</f>
        <v>新增</v>
      </c>
      <c r="B280" s="282" t="str">
        <f>工程量核对表!B279</f>
        <v>钢筋制安</v>
      </c>
      <c r="C280" s="210" t="s">
        <v>57</v>
      </c>
      <c r="D280" s="283"/>
      <c r="E280" s="283"/>
      <c r="F280" s="283"/>
      <c r="G280" s="283"/>
      <c r="H280" s="283"/>
      <c r="I280" s="283">
        <v>0.01</v>
      </c>
      <c r="J280" s="284">
        <v>6596.11</v>
      </c>
      <c r="K280" s="284"/>
      <c r="L280" s="283">
        <v>43.98</v>
      </c>
      <c r="M280" s="283"/>
      <c r="N280" s="298">
        <f ca="1">工程量核对表!F279/1000</f>
        <v>0.0052614</v>
      </c>
      <c r="O280" s="213">
        <f>O38</f>
        <v>5920</v>
      </c>
      <c r="P280" s="213"/>
      <c r="Q280" s="312">
        <f ca="1" t="shared" si="87"/>
        <v>31.147488</v>
      </c>
      <c r="R280" s="312"/>
      <c r="S280" s="213">
        <f ca="1" t="shared" si="88"/>
        <v>31.147488</v>
      </c>
      <c r="T280" s="298">
        <f ca="1" t="shared" si="89"/>
        <v>-12.832512</v>
      </c>
      <c r="U280" s="313" t="s">
        <v>58</v>
      </c>
    </row>
    <row r="281" s="162" customFormat="1" ht="25" customHeight="1" spans="1:21">
      <c r="A281" s="278" t="str">
        <f>工程量核对表!A280</f>
        <v>新增</v>
      </c>
      <c r="B281" s="279" t="str">
        <f>工程量核对表!B280</f>
        <v>集水池工程</v>
      </c>
      <c r="C281" s="280"/>
      <c r="D281" s="281"/>
      <c r="E281" s="281"/>
      <c r="F281" s="281"/>
      <c r="G281" s="281"/>
      <c r="H281" s="281"/>
      <c r="I281" s="281"/>
      <c r="J281" s="285"/>
      <c r="K281" s="285"/>
      <c r="L281" s="281">
        <v>6227.64</v>
      </c>
      <c r="M281" s="281"/>
      <c r="N281" s="296"/>
      <c r="O281" s="297"/>
      <c r="P281" s="297"/>
      <c r="Q281" s="310">
        <f ca="1">SUM(Q282:Q287)</f>
        <v>0</v>
      </c>
      <c r="R281" s="310"/>
      <c r="S281" s="310">
        <f ca="1" t="shared" ref="Q281:T281" si="90">SUM(S282:S287)</f>
        <v>0</v>
      </c>
      <c r="T281" s="310">
        <f ca="1" t="shared" si="90"/>
        <v>-6227.64</v>
      </c>
      <c r="U281" s="311"/>
    </row>
    <row r="282" s="162" customFormat="1" ht="25" customHeight="1" spans="1:21">
      <c r="A282" s="208">
        <f>工程量核对表!A281</f>
        <v>1</v>
      </c>
      <c r="B282" s="282" t="str">
        <f>工程量核对表!B281</f>
        <v>土方开挖</v>
      </c>
      <c r="C282" s="210" t="str">
        <f>工程量核对表!C281</f>
        <v>m3</v>
      </c>
      <c r="D282" s="283"/>
      <c r="E282" s="283"/>
      <c r="F282" s="283"/>
      <c r="G282" s="283"/>
      <c r="H282" s="283"/>
      <c r="I282" s="283">
        <v>10.3</v>
      </c>
      <c r="J282" s="284">
        <v>19.7</v>
      </c>
      <c r="K282" s="284"/>
      <c r="L282" s="283">
        <v>202.83</v>
      </c>
      <c r="M282" s="283"/>
      <c r="N282" s="298">
        <f ca="1">工程量核对表!F281</f>
        <v>0</v>
      </c>
      <c r="O282" s="213">
        <f>O33</f>
        <v>12.15</v>
      </c>
      <c r="P282" s="213"/>
      <c r="Q282" s="312">
        <f ca="1" t="shared" ref="Q282:Q287" si="91">N282*O282</f>
        <v>0</v>
      </c>
      <c r="R282" s="312"/>
      <c r="S282" s="213">
        <f ca="1" t="shared" ref="S281:S287" si="92">Q282-G282</f>
        <v>0</v>
      </c>
      <c r="T282" s="298">
        <f ca="1" t="shared" ref="T281:T287" si="93">Q282-L282</f>
        <v>-202.83</v>
      </c>
      <c r="U282" s="313" t="s">
        <v>45</v>
      </c>
    </row>
    <row r="283" s="162" customFormat="1" ht="25" customHeight="1" spans="1:21">
      <c r="A283" s="208">
        <f>工程量核对表!A282</f>
        <v>2</v>
      </c>
      <c r="B283" s="282" t="str">
        <f>工程量核对表!B282</f>
        <v>石方开挖</v>
      </c>
      <c r="C283" s="210" t="str">
        <f>工程量核对表!C282</f>
        <v>m3</v>
      </c>
      <c r="D283" s="283"/>
      <c r="E283" s="283"/>
      <c r="F283" s="283"/>
      <c r="G283" s="283"/>
      <c r="H283" s="283"/>
      <c r="I283" s="283">
        <v>6.86</v>
      </c>
      <c r="J283" s="284">
        <v>57.04</v>
      </c>
      <c r="K283" s="284"/>
      <c r="L283" s="283">
        <v>391.52</v>
      </c>
      <c r="M283" s="283"/>
      <c r="N283" s="298">
        <f ca="1">工程量核对表!F282</f>
        <v>0</v>
      </c>
      <c r="O283" s="213">
        <f>O41</f>
        <v>53.28</v>
      </c>
      <c r="P283" s="213"/>
      <c r="Q283" s="312">
        <f ca="1" t="shared" si="91"/>
        <v>0</v>
      </c>
      <c r="R283" s="312"/>
      <c r="S283" s="213">
        <f ca="1" t="shared" si="92"/>
        <v>0</v>
      </c>
      <c r="T283" s="298">
        <f ca="1" t="shared" si="93"/>
        <v>-391.52</v>
      </c>
      <c r="U283" s="313" t="s">
        <v>45</v>
      </c>
    </row>
    <row r="284" s="162" customFormat="1" ht="25" customHeight="1" spans="1:21">
      <c r="A284" s="208">
        <f>工程量核对表!A283</f>
        <v>3</v>
      </c>
      <c r="B284" s="282" t="str">
        <f>工程量核对表!B283</f>
        <v>C25砼现浇基础</v>
      </c>
      <c r="C284" s="210" t="str">
        <f>工程量核对表!C283</f>
        <v>m3</v>
      </c>
      <c r="D284" s="283"/>
      <c r="E284" s="283"/>
      <c r="F284" s="283"/>
      <c r="G284" s="283"/>
      <c r="H284" s="283"/>
      <c r="I284" s="283">
        <v>1.68</v>
      </c>
      <c r="J284" s="284">
        <v>537.51</v>
      </c>
      <c r="K284" s="284"/>
      <c r="L284" s="283">
        <v>903.02</v>
      </c>
      <c r="M284" s="283"/>
      <c r="N284" s="298">
        <f ca="1">工程量核对表!F283</f>
        <v>0</v>
      </c>
      <c r="O284" s="213">
        <f>O34</f>
        <v>452.81</v>
      </c>
      <c r="P284" s="213"/>
      <c r="Q284" s="312">
        <f ca="1" t="shared" si="91"/>
        <v>0</v>
      </c>
      <c r="R284" s="312"/>
      <c r="S284" s="213">
        <f ca="1" t="shared" si="92"/>
        <v>0</v>
      </c>
      <c r="T284" s="298">
        <f ca="1" t="shared" si="93"/>
        <v>-903.02</v>
      </c>
      <c r="U284" s="313" t="s">
        <v>45</v>
      </c>
    </row>
    <row r="285" s="162" customFormat="1" ht="25" customHeight="1" spans="1:21">
      <c r="A285" s="208">
        <f>工程量核对表!A284</f>
        <v>4</v>
      </c>
      <c r="B285" s="282" t="str">
        <f>工程量核对表!B284</f>
        <v>M7.5砖砌</v>
      </c>
      <c r="C285" s="210" t="str">
        <f>工程量核对表!C284</f>
        <v>m3</v>
      </c>
      <c r="D285" s="283"/>
      <c r="E285" s="283"/>
      <c r="F285" s="283"/>
      <c r="G285" s="283"/>
      <c r="H285" s="283"/>
      <c r="I285" s="283">
        <v>5.73</v>
      </c>
      <c r="J285" s="284">
        <v>582.15</v>
      </c>
      <c r="K285" s="284"/>
      <c r="L285" s="283">
        <v>3337.47</v>
      </c>
      <c r="M285" s="283"/>
      <c r="N285" s="298">
        <f ca="1">工程量核对表!F284</f>
        <v>0</v>
      </c>
      <c r="O285" s="213">
        <f>O36</f>
        <v>418.59</v>
      </c>
      <c r="P285" s="213"/>
      <c r="Q285" s="312">
        <f ca="1" t="shared" si="91"/>
        <v>0</v>
      </c>
      <c r="R285" s="312"/>
      <c r="S285" s="213">
        <f ca="1" t="shared" si="92"/>
        <v>0</v>
      </c>
      <c r="T285" s="298">
        <f ca="1" t="shared" si="93"/>
        <v>-3337.47</v>
      </c>
      <c r="U285" s="313" t="s">
        <v>45</v>
      </c>
    </row>
    <row r="286" s="162" customFormat="1" ht="25" customHeight="1" spans="1:21">
      <c r="A286" s="208">
        <f>工程量核对表!A285</f>
        <v>5</v>
      </c>
      <c r="B286" s="282" t="str">
        <f>工程量核对表!B285</f>
        <v>M10沙浆抹面</v>
      </c>
      <c r="C286" s="210" t="str">
        <f>工程量核对表!C285</f>
        <v>m2</v>
      </c>
      <c r="D286" s="283"/>
      <c r="E286" s="283"/>
      <c r="F286" s="283"/>
      <c r="G286" s="283"/>
      <c r="H286" s="283"/>
      <c r="I286" s="283">
        <v>23.59</v>
      </c>
      <c r="J286" s="284">
        <v>17.05</v>
      </c>
      <c r="K286" s="284"/>
      <c r="L286" s="283">
        <v>402.21</v>
      </c>
      <c r="M286" s="283"/>
      <c r="N286" s="298">
        <f ca="1">工程量核对表!F285</f>
        <v>0</v>
      </c>
      <c r="O286" s="213">
        <f>O39</f>
        <v>11.93</v>
      </c>
      <c r="P286" s="213"/>
      <c r="Q286" s="312">
        <f ca="1" t="shared" si="91"/>
        <v>0</v>
      </c>
      <c r="R286" s="312"/>
      <c r="S286" s="213">
        <f ca="1" t="shared" si="92"/>
        <v>0</v>
      </c>
      <c r="T286" s="298">
        <f ca="1" t="shared" si="93"/>
        <v>-402.21</v>
      </c>
      <c r="U286" s="313" t="s">
        <v>45</v>
      </c>
    </row>
    <row r="287" s="162" customFormat="1" ht="25" customHeight="1" spans="1:21">
      <c r="A287" s="208">
        <f>工程量核对表!A286</f>
        <v>6</v>
      </c>
      <c r="B287" s="282" t="str">
        <f>工程量核对表!B286</f>
        <v>钢筋制安</v>
      </c>
      <c r="C287" s="210" t="s">
        <v>57</v>
      </c>
      <c r="D287" s="283"/>
      <c r="E287" s="283"/>
      <c r="F287" s="283"/>
      <c r="G287" s="283"/>
      <c r="H287" s="283"/>
      <c r="I287" s="283">
        <v>0.15</v>
      </c>
      <c r="J287" s="284">
        <v>6596.11</v>
      </c>
      <c r="K287" s="284"/>
      <c r="L287" s="283">
        <v>990.59</v>
      </c>
      <c r="M287" s="283"/>
      <c r="N287" s="298">
        <f ca="1">工程量核对表!F286</f>
        <v>0</v>
      </c>
      <c r="O287" s="213">
        <f>O38</f>
        <v>5920</v>
      </c>
      <c r="P287" s="213"/>
      <c r="Q287" s="312">
        <f ca="1" t="shared" si="91"/>
        <v>0</v>
      </c>
      <c r="R287" s="312"/>
      <c r="S287" s="213">
        <f ca="1" t="shared" si="92"/>
        <v>0</v>
      </c>
      <c r="T287" s="298">
        <f ca="1" t="shared" si="93"/>
        <v>-990.59</v>
      </c>
      <c r="U287" s="313" t="s">
        <v>58</v>
      </c>
    </row>
    <row r="288" s="162" customFormat="1" ht="25" customHeight="1" spans="1:21">
      <c r="A288" s="278" t="str">
        <f>工程量核对表!A287</f>
        <v>（四）</v>
      </c>
      <c r="B288" s="279" t="str">
        <f>工程量核对表!B287</f>
        <v>建筑材料人力二次运输100米</v>
      </c>
      <c r="C288" s="280" t="str">
        <f>工程量核对表!C287</f>
        <v/>
      </c>
      <c r="D288" s="281"/>
      <c r="E288" s="281"/>
      <c r="F288" s="281"/>
      <c r="G288" s="281"/>
      <c r="H288" s="281"/>
      <c r="I288" s="281"/>
      <c r="J288" s="285"/>
      <c r="K288" s="285"/>
      <c r="L288" s="281">
        <v>3133.86</v>
      </c>
      <c r="M288" s="281"/>
      <c r="N288" s="296"/>
      <c r="O288" s="297"/>
      <c r="P288" s="297"/>
      <c r="Q288" s="310">
        <f ca="1">SUM(Q289:Q293)</f>
        <v>502.965157279882</v>
      </c>
      <c r="R288" s="310"/>
      <c r="S288" s="310">
        <f ca="1" t="shared" ref="Q288:T288" si="94">SUM(S289:S293)</f>
        <v>502.965157279882</v>
      </c>
      <c r="T288" s="310">
        <f ca="1" t="shared" si="94"/>
        <v>-2630.89484272012</v>
      </c>
      <c r="U288" s="311" t="s">
        <v>70</v>
      </c>
    </row>
    <row r="289" s="162" customFormat="1" ht="25" customHeight="1" spans="1:21">
      <c r="A289" s="208">
        <f>工程量核对表!A288</f>
        <v>1</v>
      </c>
      <c r="B289" s="282" t="str">
        <f>工程量核对表!B288</f>
        <v>水泥</v>
      </c>
      <c r="C289" s="210" t="str">
        <f>工程量核对表!C288</f>
        <v>t</v>
      </c>
      <c r="D289" s="283"/>
      <c r="E289" s="283"/>
      <c r="F289" s="283"/>
      <c r="G289" s="283"/>
      <c r="H289" s="283"/>
      <c r="I289" s="283">
        <v>6.64</v>
      </c>
      <c r="J289" s="284">
        <v>50</v>
      </c>
      <c r="K289" s="284"/>
      <c r="L289" s="283">
        <v>332.07</v>
      </c>
      <c r="M289" s="283"/>
      <c r="N289" s="298">
        <f ca="1">工程量核对表!F288</f>
        <v>4.6670239318132</v>
      </c>
      <c r="O289" s="213">
        <f>O290*0.915</f>
        <v>19.9653</v>
      </c>
      <c r="P289" s="213"/>
      <c r="Q289" s="312">
        <f ca="1">N289*O289</f>
        <v>93.1785329058301</v>
      </c>
      <c r="R289" s="312"/>
      <c r="S289" s="213">
        <f ca="1">Q289-G289</f>
        <v>93.1785329058301</v>
      </c>
      <c r="T289" s="298">
        <f ca="1">Q289-L289</f>
        <v>-238.89146709417</v>
      </c>
      <c r="U289" s="313"/>
    </row>
    <row r="290" s="162" customFormat="1" ht="25" customHeight="1" spans="1:21">
      <c r="A290" s="208">
        <f>工程量核对表!A289</f>
        <v>2</v>
      </c>
      <c r="B290" s="282" t="str">
        <f>工程量核对表!B289</f>
        <v>砂</v>
      </c>
      <c r="C290" s="210" t="str">
        <f>工程量核对表!C289</f>
        <v>m3</v>
      </c>
      <c r="D290" s="283"/>
      <c r="E290" s="283"/>
      <c r="F290" s="283"/>
      <c r="G290" s="283"/>
      <c r="H290" s="283"/>
      <c r="I290" s="283">
        <v>10.88</v>
      </c>
      <c r="J290" s="284">
        <v>80</v>
      </c>
      <c r="K290" s="284"/>
      <c r="L290" s="283">
        <v>870.69</v>
      </c>
      <c r="M290" s="283"/>
      <c r="N290" s="298">
        <f ca="1">工程量核对表!F289</f>
        <v>6.6596062028</v>
      </c>
      <c r="O290" s="213">
        <v>21.82</v>
      </c>
      <c r="P290" s="213"/>
      <c r="Q290" s="312">
        <f ca="1">N290*O290</f>
        <v>145.312607345096</v>
      </c>
      <c r="R290" s="312"/>
      <c r="S290" s="213">
        <f ca="1">Q290-G290</f>
        <v>145.312607345096</v>
      </c>
      <c r="T290" s="298">
        <f ca="1">Q290-L290</f>
        <v>-725.377392654904</v>
      </c>
      <c r="U290" s="313"/>
    </row>
    <row r="291" s="162" customFormat="1" ht="25" customHeight="1" spans="1:21">
      <c r="A291" s="208">
        <f>工程量核对表!A290</f>
        <v>3</v>
      </c>
      <c r="B291" s="282" t="str">
        <f>工程量核对表!B290</f>
        <v>碎石</v>
      </c>
      <c r="C291" s="210" t="str">
        <f>工程量核对表!C290</f>
        <v>m3</v>
      </c>
      <c r="D291" s="283"/>
      <c r="E291" s="283"/>
      <c r="F291" s="283"/>
      <c r="G291" s="283"/>
      <c r="H291" s="283"/>
      <c r="I291" s="283">
        <v>12.62</v>
      </c>
      <c r="J291" s="284">
        <v>85</v>
      </c>
      <c r="K291" s="284"/>
      <c r="L291" s="283">
        <v>1073.12</v>
      </c>
      <c r="M291" s="283"/>
      <c r="N291" s="298">
        <f ca="1">工程量核对表!F290</f>
        <v>10.4989560592</v>
      </c>
      <c r="O291" s="213">
        <v>22.94</v>
      </c>
      <c r="P291" s="213"/>
      <c r="Q291" s="312">
        <f ca="1">N291*O291</f>
        <v>240.846051998048</v>
      </c>
      <c r="R291" s="312"/>
      <c r="S291" s="213">
        <f ca="1">Q291-G291</f>
        <v>240.846051998048</v>
      </c>
      <c r="T291" s="298">
        <f ca="1">Q291-L291</f>
        <v>-832.273948001952</v>
      </c>
      <c r="U291" s="313"/>
    </row>
    <row r="292" s="162" customFormat="1" ht="25" customHeight="1" spans="1:21">
      <c r="A292" s="208">
        <f>工程量核对表!A291</f>
        <v>4</v>
      </c>
      <c r="B292" s="282" t="str">
        <f>工程量核对表!B291</f>
        <v>页岩砖</v>
      </c>
      <c r="C292" s="210" t="str">
        <f>工程量核对表!C291</f>
        <v>千匹</v>
      </c>
      <c r="D292" s="283"/>
      <c r="E292" s="283"/>
      <c r="F292" s="283"/>
      <c r="G292" s="283"/>
      <c r="H292" s="283"/>
      <c r="I292" s="283">
        <v>6.56</v>
      </c>
      <c r="J292" s="284">
        <v>125</v>
      </c>
      <c r="K292" s="284"/>
      <c r="L292" s="283">
        <v>819.53</v>
      </c>
      <c r="M292" s="283"/>
      <c r="N292" s="298">
        <f ca="1">工程量核对表!F291</f>
        <v>0.32655168</v>
      </c>
      <c r="O292" s="213">
        <f>O290*1.854</f>
        <v>40.45428</v>
      </c>
      <c r="P292" s="213"/>
      <c r="Q292" s="312">
        <f ca="1">N292*O292</f>
        <v>13.2104130971904</v>
      </c>
      <c r="R292" s="312"/>
      <c r="S292" s="213">
        <f ca="1">Q292-G292</f>
        <v>13.2104130971904</v>
      </c>
      <c r="T292" s="298">
        <f ca="1">Q292-L292</f>
        <v>-806.31958690281</v>
      </c>
      <c r="U292" s="313"/>
    </row>
    <row r="293" s="162" customFormat="1" ht="25" customHeight="1" spans="1:21">
      <c r="A293" s="208">
        <f>工程量核对表!A292</f>
        <v>5</v>
      </c>
      <c r="B293" s="282" t="str">
        <f>工程量核对表!B292</f>
        <v>钢筋</v>
      </c>
      <c r="C293" s="210" t="str">
        <f>工程量核对表!C292</f>
        <v>t</v>
      </c>
      <c r="D293" s="283"/>
      <c r="E293" s="283"/>
      <c r="F293" s="283"/>
      <c r="G293" s="283"/>
      <c r="H293" s="283"/>
      <c r="I293" s="283">
        <v>0.77</v>
      </c>
      <c r="J293" s="284">
        <v>50</v>
      </c>
      <c r="K293" s="284"/>
      <c r="L293" s="283">
        <v>38.45</v>
      </c>
      <c r="M293" s="283"/>
      <c r="N293" s="298">
        <f ca="1">工程量核对表!F292</f>
        <v>0.52178289</v>
      </c>
      <c r="O293" s="213">
        <f>O289</f>
        <v>19.9653</v>
      </c>
      <c r="P293" s="213"/>
      <c r="Q293" s="312">
        <f ca="1">N293*O293</f>
        <v>10.417551933717</v>
      </c>
      <c r="R293" s="312"/>
      <c r="S293" s="213">
        <f ca="1">Q293-G293</f>
        <v>10.417551933717</v>
      </c>
      <c r="T293" s="298">
        <f ca="1">Q293-L293</f>
        <v>-28.032448066283</v>
      </c>
      <c r="U293" s="313"/>
    </row>
    <row r="294" s="162" customFormat="1" ht="25" customHeight="1" spans="1:21">
      <c r="A294" s="274" t="str">
        <f>工程量核对表!A293</f>
        <v>六</v>
      </c>
      <c r="B294" s="275" t="str">
        <f>工程量核对表!B293</f>
        <v>陈家河陈文如处供水工程</v>
      </c>
      <c r="C294" s="276" t="str">
        <f>工程量核对表!C293</f>
        <v/>
      </c>
      <c r="D294" s="277"/>
      <c r="E294" s="277"/>
      <c r="F294" s="277"/>
      <c r="G294" s="277"/>
      <c r="H294" s="277"/>
      <c r="I294" s="277"/>
      <c r="J294" s="293"/>
      <c r="K294" s="293"/>
      <c r="L294" s="277">
        <v>5051.4</v>
      </c>
      <c r="M294" s="277"/>
      <c r="N294" s="294"/>
      <c r="O294" s="295"/>
      <c r="P294" s="295"/>
      <c r="Q294" s="308">
        <f ca="1">Q295+Q303</f>
        <v>3826.040964</v>
      </c>
      <c r="R294" s="308"/>
      <c r="S294" s="308">
        <f ca="1" t="shared" ref="Q294:T294" si="95">S295+S303</f>
        <v>3826.040964</v>
      </c>
      <c r="T294" s="308">
        <f ca="1" t="shared" si="95"/>
        <v>-1225.349036</v>
      </c>
      <c r="U294" s="309"/>
    </row>
    <row r="295" s="162" customFormat="1" ht="25" customHeight="1" spans="1:21">
      <c r="A295" s="278" t="str">
        <f>工程量核对表!A294</f>
        <v>（一）</v>
      </c>
      <c r="B295" s="279" t="str">
        <f>工程量核对表!B294</f>
        <v>集水池工程</v>
      </c>
      <c r="C295" s="280"/>
      <c r="D295" s="281"/>
      <c r="E295" s="281"/>
      <c r="F295" s="281"/>
      <c r="G295" s="281"/>
      <c r="H295" s="281"/>
      <c r="I295" s="281"/>
      <c r="J295" s="285"/>
      <c r="K295" s="285"/>
      <c r="L295" s="281">
        <v>4174.21</v>
      </c>
      <c r="M295" s="281"/>
      <c r="N295" s="296"/>
      <c r="O295" s="297"/>
      <c r="P295" s="297"/>
      <c r="Q295" s="310">
        <f ca="1">SUM(Q296:Q302)</f>
        <v>3163.316724</v>
      </c>
      <c r="R295" s="310"/>
      <c r="S295" s="310">
        <f ca="1" t="shared" ref="Q295:T295" si="96">SUM(S296:S302)</f>
        <v>3163.316724</v>
      </c>
      <c r="T295" s="310">
        <f ca="1" t="shared" si="96"/>
        <v>-1010.883276</v>
      </c>
      <c r="U295" s="311"/>
    </row>
    <row r="296" s="162" customFormat="1" ht="25" customHeight="1" spans="1:21">
      <c r="A296" s="208">
        <f>工程量核对表!A295</f>
        <v>1</v>
      </c>
      <c r="B296" s="282" t="str">
        <f>工程量核对表!B295</f>
        <v>土方开挖</v>
      </c>
      <c r="C296" s="210" t="str">
        <f>工程量核对表!C295</f>
        <v>m3</v>
      </c>
      <c r="D296" s="283"/>
      <c r="E296" s="283"/>
      <c r="F296" s="283"/>
      <c r="G296" s="283"/>
      <c r="H296" s="283"/>
      <c r="I296" s="283">
        <v>9.41</v>
      </c>
      <c r="J296" s="284">
        <v>19.7</v>
      </c>
      <c r="K296" s="284"/>
      <c r="L296" s="283">
        <v>185.34</v>
      </c>
      <c r="M296" s="283"/>
      <c r="N296" s="298">
        <f ca="1">工程量核对表!F295</f>
        <v>9.408</v>
      </c>
      <c r="O296" s="213">
        <f>O33</f>
        <v>12.15</v>
      </c>
      <c r="P296" s="213"/>
      <c r="Q296" s="312">
        <f ca="1">N296*O296</f>
        <v>114.3072</v>
      </c>
      <c r="R296" s="312"/>
      <c r="S296" s="213">
        <f ca="1" t="shared" ref="S296:S302" si="97">Q296-G296</f>
        <v>114.3072</v>
      </c>
      <c r="T296" s="298">
        <f ca="1" t="shared" ref="T296:T302" si="98">Q296-L296</f>
        <v>-71.0328</v>
      </c>
      <c r="U296" s="313" t="s">
        <v>45</v>
      </c>
    </row>
    <row r="297" s="162" customFormat="1" ht="25" customHeight="1" spans="1:21">
      <c r="A297" s="208">
        <f>工程量核对表!A296</f>
        <v>2</v>
      </c>
      <c r="B297" s="282" t="str">
        <f>工程量核对表!B296</f>
        <v>石方开挖</v>
      </c>
      <c r="C297" s="210" t="str">
        <f>工程量核对表!C296</f>
        <v>m3</v>
      </c>
      <c r="D297" s="283"/>
      <c r="E297" s="283"/>
      <c r="F297" s="283"/>
      <c r="G297" s="283"/>
      <c r="H297" s="283"/>
      <c r="I297" s="283">
        <v>6.27</v>
      </c>
      <c r="J297" s="284">
        <v>57.04</v>
      </c>
      <c r="K297" s="284"/>
      <c r="L297" s="283">
        <v>357.75</v>
      </c>
      <c r="M297" s="283"/>
      <c r="N297" s="298">
        <f ca="1">工程量核对表!F296</f>
        <v>6.272</v>
      </c>
      <c r="O297" s="213">
        <f>O41</f>
        <v>53.28</v>
      </c>
      <c r="P297" s="213"/>
      <c r="Q297" s="312">
        <f ca="1">N297*O297</f>
        <v>334.17216</v>
      </c>
      <c r="R297" s="312"/>
      <c r="S297" s="213">
        <f ca="1" t="shared" si="97"/>
        <v>334.17216</v>
      </c>
      <c r="T297" s="298">
        <f ca="1" t="shared" si="98"/>
        <v>-23.57784</v>
      </c>
      <c r="U297" s="313" t="s">
        <v>45</v>
      </c>
    </row>
    <row r="298" s="162" customFormat="1" ht="25" customHeight="1" spans="1:21">
      <c r="A298" s="208">
        <f>工程量核对表!A297</f>
        <v>3</v>
      </c>
      <c r="B298" s="282" t="str">
        <f>工程量核对表!B297</f>
        <v>C25混凝土底板浇筑</v>
      </c>
      <c r="C298" s="210" t="str">
        <f>工程量核对表!C297</f>
        <v>m3</v>
      </c>
      <c r="D298" s="283"/>
      <c r="E298" s="283"/>
      <c r="F298" s="283"/>
      <c r="G298" s="283"/>
      <c r="H298" s="283"/>
      <c r="I298" s="283">
        <v>1.46</v>
      </c>
      <c r="J298" s="284">
        <v>537.51</v>
      </c>
      <c r="K298" s="284"/>
      <c r="L298" s="283">
        <v>783.69</v>
      </c>
      <c r="M298" s="283"/>
      <c r="N298" s="298">
        <f ca="1">工程量核对表!F297</f>
        <v>1.458</v>
      </c>
      <c r="O298" s="213">
        <f>O34</f>
        <v>452.81</v>
      </c>
      <c r="P298" s="213"/>
      <c r="Q298" s="312">
        <f ca="1">N298*O298</f>
        <v>660.19698</v>
      </c>
      <c r="R298" s="312"/>
      <c r="S298" s="213">
        <f ca="1" t="shared" si="97"/>
        <v>660.19698</v>
      </c>
      <c r="T298" s="298">
        <f ca="1" t="shared" si="98"/>
        <v>-123.49302</v>
      </c>
      <c r="U298" s="313" t="s">
        <v>45</v>
      </c>
    </row>
    <row r="299" s="162" customFormat="1" ht="25" customHeight="1" spans="1:21">
      <c r="A299" s="208">
        <f>工程量核对表!A298</f>
        <v>4</v>
      </c>
      <c r="B299" s="282" t="str">
        <f>工程量核对表!B298</f>
        <v>M7.5砖砌</v>
      </c>
      <c r="C299" s="210" t="str">
        <f>工程量核对表!C298</f>
        <v>m3</v>
      </c>
      <c r="D299" s="283"/>
      <c r="E299" s="283"/>
      <c r="F299" s="283"/>
      <c r="G299" s="283"/>
      <c r="H299" s="283"/>
      <c r="I299" s="283">
        <v>3.84</v>
      </c>
      <c r="J299" s="284">
        <v>582.15</v>
      </c>
      <c r="K299" s="284"/>
      <c r="L299" s="283">
        <v>2235.46</v>
      </c>
      <c r="M299" s="283"/>
      <c r="N299" s="298">
        <f ca="1">工程量核对表!F298</f>
        <v>3.84</v>
      </c>
      <c r="O299" s="213">
        <f>O36</f>
        <v>418.59</v>
      </c>
      <c r="P299" s="213"/>
      <c r="Q299" s="312">
        <f ca="1">N299*O299</f>
        <v>1607.3856</v>
      </c>
      <c r="R299" s="312"/>
      <c r="S299" s="213">
        <f ca="1" t="shared" si="97"/>
        <v>1607.3856</v>
      </c>
      <c r="T299" s="298">
        <f ca="1" t="shared" si="98"/>
        <v>-628.0744</v>
      </c>
      <c r="U299" s="313" t="s">
        <v>45</v>
      </c>
    </row>
    <row r="300" s="162" customFormat="1" ht="25" customHeight="1" spans="1:21">
      <c r="A300" s="208">
        <f>工程量核对表!A299</f>
        <v>5</v>
      </c>
      <c r="B300" s="282" t="str">
        <f>工程量核对表!B299</f>
        <v>M10沙浆抹面</v>
      </c>
      <c r="C300" s="210" t="str">
        <f>工程量核对表!C299</f>
        <v>m2</v>
      </c>
      <c r="D300" s="283"/>
      <c r="E300" s="283"/>
      <c r="F300" s="283"/>
      <c r="G300" s="283"/>
      <c r="H300" s="283"/>
      <c r="I300" s="283">
        <v>18.72</v>
      </c>
      <c r="J300" s="284">
        <v>17.05</v>
      </c>
      <c r="K300" s="284"/>
      <c r="L300" s="283">
        <v>319.18</v>
      </c>
      <c r="M300" s="283"/>
      <c r="N300" s="298">
        <f ca="1">工程量核对表!F299</f>
        <v>18.72</v>
      </c>
      <c r="O300" s="213">
        <f>O39</f>
        <v>11.93</v>
      </c>
      <c r="P300" s="213"/>
      <c r="Q300" s="312">
        <f ca="1">N300*O300</f>
        <v>223.3296</v>
      </c>
      <c r="R300" s="312"/>
      <c r="S300" s="213">
        <f ca="1" t="shared" si="97"/>
        <v>223.3296</v>
      </c>
      <c r="T300" s="298">
        <f ca="1" t="shared" si="98"/>
        <v>-95.8504</v>
      </c>
      <c r="U300" s="313" t="s">
        <v>45</v>
      </c>
    </row>
    <row r="301" s="162" customFormat="1" ht="25" customHeight="1" spans="1:21">
      <c r="A301" s="208">
        <f>工程量核对表!A300</f>
        <v>6</v>
      </c>
      <c r="B301" s="282" t="str">
        <f>工程量核对表!B300</f>
        <v>木模制安</v>
      </c>
      <c r="C301" s="210" t="str">
        <f>工程量核对表!C300</f>
        <v>m2</v>
      </c>
      <c r="D301" s="283"/>
      <c r="E301" s="283"/>
      <c r="F301" s="283"/>
      <c r="G301" s="283"/>
      <c r="H301" s="283"/>
      <c r="I301" s="283"/>
      <c r="J301" s="284"/>
      <c r="K301" s="284"/>
      <c r="L301" s="283"/>
      <c r="M301" s="283"/>
      <c r="N301" s="298"/>
      <c r="O301" s="213"/>
      <c r="P301" s="213"/>
      <c r="Q301" s="312"/>
      <c r="R301" s="312"/>
      <c r="S301" s="213">
        <f t="shared" si="97"/>
        <v>0</v>
      </c>
      <c r="T301" s="298">
        <f t="shared" si="98"/>
        <v>0</v>
      </c>
      <c r="U301" s="313" t="s">
        <v>45</v>
      </c>
    </row>
    <row r="302" s="162" customFormat="1" ht="25" customHeight="1" spans="1:21">
      <c r="A302" s="208">
        <f>工程量核对表!A301</f>
        <v>7</v>
      </c>
      <c r="B302" s="282" t="str">
        <f>工程量核对表!B301</f>
        <v>钢筋制安</v>
      </c>
      <c r="C302" s="210" t="s">
        <v>57</v>
      </c>
      <c r="D302" s="283"/>
      <c r="E302" s="283"/>
      <c r="F302" s="283"/>
      <c r="G302" s="283"/>
      <c r="H302" s="283"/>
      <c r="I302" s="283">
        <v>0.04</v>
      </c>
      <c r="J302" s="284">
        <v>6596.11</v>
      </c>
      <c r="K302" s="284"/>
      <c r="L302" s="283">
        <v>292.78</v>
      </c>
      <c r="M302" s="283"/>
      <c r="N302" s="298">
        <f ca="1">工程量核对表!F301/1000</f>
        <v>0.0378252</v>
      </c>
      <c r="O302" s="213">
        <f>O38</f>
        <v>5920</v>
      </c>
      <c r="P302" s="213"/>
      <c r="Q302" s="312">
        <f ca="1">N302*O302</f>
        <v>223.925184</v>
      </c>
      <c r="R302" s="312"/>
      <c r="S302" s="213">
        <f ca="1" t="shared" si="97"/>
        <v>223.925184</v>
      </c>
      <c r="T302" s="298">
        <f ca="1" t="shared" si="98"/>
        <v>-68.8548159999999</v>
      </c>
      <c r="U302" s="313" t="s">
        <v>71</v>
      </c>
    </row>
    <row r="303" s="162" customFormat="1" ht="25" customHeight="1" spans="1:21">
      <c r="A303" s="278" t="str">
        <f>工程量核对表!A302</f>
        <v>（二）</v>
      </c>
      <c r="B303" s="279" t="str">
        <f>工程量核对表!B302</f>
        <v>排污、供水管工程</v>
      </c>
      <c r="C303" s="280" t="str">
        <f>工程量核对表!C302</f>
        <v/>
      </c>
      <c r="D303" s="281"/>
      <c r="E303" s="281"/>
      <c r="F303" s="281"/>
      <c r="G303" s="281"/>
      <c r="H303" s="281"/>
      <c r="I303" s="281"/>
      <c r="J303" s="285"/>
      <c r="K303" s="285"/>
      <c r="L303" s="281">
        <v>877.19</v>
      </c>
      <c r="M303" s="281"/>
      <c r="N303" s="296"/>
      <c r="O303" s="297"/>
      <c r="P303" s="297"/>
      <c r="Q303" s="310">
        <f ca="1">SUM(Q304:Q307)</f>
        <v>662.72424</v>
      </c>
      <c r="R303" s="310"/>
      <c r="S303" s="310">
        <f ca="1" t="shared" ref="Q303:T303" si="99">SUM(S304:S307)</f>
        <v>662.72424</v>
      </c>
      <c r="T303" s="310">
        <f ca="1" t="shared" si="99"/>
        <v>-214.46576</v>
      </c>
      <c r="U303" s="311"/>
    </row>
    <row r="304" s="162" customFormat="1" ht="25" customHeight="1" spans="1:21">
      <c r="A304" s="208">
        <f>工程量核对表!A303</f>
        <v>1</v>
      </c>
      <c r="B304" s="282" t="str">
        <f>工程量核对表!B303</f>
        <v>土方开挖</v>
      </c>
      <c r="C304" s="210" t="str">
        <f>工程量核对表!C303</f>
        <v>m3</v>
      </c>
      <c r="D304" s="283"/>
      <c r="E304" s="283"/>
      <c r="F304" s="283"/>
      <c r="G304" s="283"/>
      <c r="H304" s="283"/>
      <c r="I304" s="283">
        <v>4.68</v>
      </c>
      <c r="J304" s="284">
        <v>19.7</v>
      </c>
      <c r="K304" s="284"/>
      <c r="L304" s="283">
        <v>92.2</v>
      </c>
      <c r="M304" s="283"/>
      <c r="N304" s="298">
        <f ca="1">工程量核对表!F303</f>
        <v>4.68</v>
      </c>
      <c r="O304" s="213">
        <f>O33</f>
        <v>12.15</v>
      </c>
      <c r="P304" s="213"/>
      <c r="Q304" s="312">
        <f ca="1">N304*O304</f>
        <v>56.862</v>
      </c>
      <c r="R304" s="312"/>
      <c r="S304" s="213">
        <f ca="1" t="shared" ref="S304:S307" si="100">Q304-G304</f>
        <v>56.862</v>
      </c>
      <c r="T304" s="298">
        <f ca="1" t="shared" ref="T304:T307" si="101">Q304-L304</f>
        <v>-35.338</v>
      </c>
      <c r="U304" s="313" t="s">
        <v>45</v>
      </c>
    </row>
    <row r="305" s="162" customFormat="1" ht="25" customHeight="1" spans="1:21">
      <c r="A305" s="208">
        <f>工程量核对表!A304</f>
        <v>2</v>
      </c>
      <c r="B305" s="282" t="str">
        <f>工程量核对表!B304</f>
        <v>石方开挖</v>
      </c>
      <c r="C305" s="210" t="str">
        <f>工程量核对表!C304</f>
        <v>m3</v>
      </c>
      <c r="D305" s="283"/>
      <c r="E305" s="283"/>
      <c r="F305" s="283"/>
      <c r="G305" s="283"/>
      <c r="H305" s="283"/>
      <c r="I305" s="283">
        <v>3.12</v>
      </c>
      <c r="J305" s="284">
        <v>57.04</v>
      </c>
      <c r="K305" s="284"/>
      <c r="L305" s="283">
        <v>177.96</v>
      </c>
      <c r="M305" s="283"/>
      <c r="N305" s="298">
        <f ca="1">工程量核对表!F304</f>
        <v>3.12</v>
      </c>
      <c r="O305" s="213">
        <f>O41</f>
        <v>53.28</v>
      </c>
      <c r="P305" s="213"/>
      <c r="Q305" s="312">
        <f ca="1">N305*O305</f>
        <v>166.2336</v>
      </c>
      <c r="R305" s="312"/>
      <c r="S305" s="213">
        <f ca="1" t="shared" si="100"/>
        <v>166.2336</v>
      </c>
      <c r="T305" s="298">
        <f ca="1" t="shared" si="101"/>
        <v>-11.7264</v>
      </c>
      <c r="U305" s="313" t="s">
        <v>45</v>
      </c>
    </row>
    <row r="306" s="162" customFormat="1" ht="25" customHeight="1" spans="1:21">
      <c r="A306" s="208">
        <f>工程量核对表!A305</f>
        <v>3</v>
      </c>
      <c r="B306" s="282" t="str">
        <f>工程量核对表!B305</f>
        <v>C20砼 截留环（2个）</v>
      </c>
      <c r="C306" s="210" t="str">
        <f>工程量核对表!C305</f>
        <v>m3</v>
      </c>
      <c r="D306" s="283"/>
      <c r="E306" s="283"/>
      <c r="F306" s="283"/>
      <c r="G306" s="283"/>
      <c r="H306" s="283"/>
      <c r="I306" s="283">
        <v>0.77</v>
      </c>
      <c r="J306" s="284">
        <v>537.51</v>
      </c>
      <c r="K306" s="284"/>
      <c r="L306" s="283">
        <v>412.81</v>
      </c>
      <c r="M306" s="283"/>
      <c r="N306" s="298">
        <f ca="1">工程量核对表!F305</f>
        <v>0.768</v>
      </c>
      <c r="O306" s="213">
        <f>O27</f>
        <v>448.73</v>
      </c>
      <c r="P306" s="213"/>
      <c r="Q306" s="312">
        <f ca="1">N306*O306</f>
        <v>344.62464</v>
      </c>
      <c r="R306" s="312"/>
      <c r="S306" s="213">
        <f ca="1" t="shared" si="100"/>
        <v>344.62464</v>
      </c>
      <c r="T306" s="298">
        <f ca="1" t="shared" si="101"/>
        <v>-68.1853599999999</v>
      </c>
      <c r="U306" s="313" t="s">
        <v>59</v>
      </c>
    </row>
    <row r="307" s="162" customFormat="1" ht="25" customHeight="1" spans="1:21">
      <c r="A307" s="208">
        <f>工程量核对表!A306</f>
        <v>4</v>
      </c>
      <c r="B307" s="282" t="str">
        <f>工程量核对表!B306</f>
        <v>土石方回填</v>
      </c>
      <c r="C307" s="210" t="str">
        <f>工程量核对表!C306</f>
        <v>m3</v>
      </c>
      <c r="D307" s="283"/>
      <c r="E307" s="283"/>
      <c r="F307" s="283"/>
      <c r="G307" s="283"/>
      <c r="H307" s="283"/>
      <c r="I307" s="283">
        <v>7.8</v>
      </c>
      <c r="J307" s="284">
        <v>24.9</v>
      </c>
      <c r="K307" s="284"/>
      <c r="L307" s="283">
        <v>194.22</v>
      </c>
      <c r="M307" s="283"/>
      <c r="N307" s="298">
        <f ca="1">工程量核对表!F306</f>
        <v>7.8</v>
      </c>
      <c r="O307" s="213">
        <f>O42</f>
        <v>12.18</v>
      </c>
      <c r="P307" s="213"/>
      <c r="Q307" s="312">
        <f ca="1">N307*O307</f>
        <v>95.004</v>
      </c>
      <c r="R307" s="312"/>
      <c r="S307" s="213">
        <f ca="1" t="shared" si="100"/>
        <v>95.004</v>
      </c>
      <c r="T307" s="298">
        <f ca="1" t="shared" si="101"/>
        <v>-99.216</v>
      </c>
      <c r="U307" s="313" t="s">
        <v>45</v>
      </c>
    </row>
    <row r="308" s="162" customFormat="1" ht="25" customHeight="1" spans="1:21">
      <c r="A308" s="274" t="str">
        <f>工程量核对表!A307</f>
        <v>七</v>
      </c>
      <c r="B308" s="275" t="str">
        <f>工程量核对表!B307</f>
        <v>其他工程</v>
      </c>
      <c r="C308" s="276" t="str">
        <f>工程量核对表!C307</f>
        <v/>
      </c>
      <c r="D308" s="277"/>
      <c r="E308" s="277"/>
      <c r="F308" s="277"/>
      <c r="G308" s="277"/>
      <c r="H308" s="277"/>
      <c r="I308" s="277"/>
      <c r="J308" s="293"/>
      <c r="K308" s="293"/>
      <c r="L308" s="277">
        <v>29819</v>
      </c>
      <c r="M308" s="277"/>
      <c r="N308" s="294"/>
      <c r="O308" s="295"/>
      <c r="P308" s="295"/>
      <c r="Q308" s="308">
        <f ca="1">SUM(Q309:Q312)</f>
        <v>0</v>
      </c>
      <c r="R308" s="308"/>
      <c r="S308" s="308">
        <f ca="1" t="shared" ref="Q308:T308" si="102">SUM(S309:S312)</f>
        <v>0</v>
      </c>
      <c r="T308" s="308">
        <f ca="1" t="shared" si="102"/>
        <v>-29819</v>
      </c>
      <c r="U308" s="309"/>
    </row>
    <row r="309" s="162" customFormat="1" ht="25" customHeight="1" spans="1:21">
      <c r="A309" s="208">
        <f>工程量核对表!A308</f>
        <v>1</v>
      </c>
      <c r="B309" s="282" t="str">
        <f>工程量核对表!B308</f>
        <v>南江-柑树坪村PE管运输</v>
      </c>
      <c r="C309" s="210" t="str">
        <f>工程量核对表!C308</f>
        <v>车</v>
      </c>
      <c r="D309" s="283"/>
      <c r="E309" s="283"/>
      <c r="F309" s="283"/>
      <c r="G309" s="283"/>
      <c r="H309" s="283"/>
      <c r="I309" s="283">
        <v>7</v>
      </c>
      <c r="J309" s="284">
        <v>700</v>
      </c>
      <c r="K309" s="284"/>
      <c r="L309" s="283">
        <v>4900</v>
      </c>
      <c r="M309" s="283"/>
      <c r="N309" s="298">
        <f ca="1">工程量核对表!F308</f>
        <v>0</v>
      </c>
      <c r="O309" s="213">
        <f>J309/1.11*1.0319</f>
        <v>650.747747747748</v>
      </c>
      <c r="P309" s="213"/>
      <c r="Q309" s="312">
        <f ca="1">N309*O309</f>
        <v>0</v>
      </c>
      <c r="R309" s="312"/>
      <c r="S309" s="213">
        <f ca="1" t="shared" ref="S309:S312" si="103">Q309-G309</f>
        <v>0</v>
      </c>
      <c r="T309" s="298">
        <f ca="1" t="shared" ref="T309:T312" si="104">Q309-L309</f>
        <v>-4900</v>
      </c>
      <c r="U309" s="313"/>
    </row>
    <row r="310" s="162" customFormat="1" ht="25" customHeight="1" spans="1:21">
      <c r="A310" s="208">
        <f>工程量核对表!A309</f>
        <v>2</v>
      </c>
      <c r="B310" s="282" t="str">
        <f>工程量核对表!B309</f>
        <v>PE管上、下车费</v>
      </c>
      <c r="C310" s="210" t="str">
        <f>工程量核对表!C309</f>
        <v>件</v>
      </c>
      <c r="D310" s="283"/>
      <c r="E310" s="283"/>
      <c r="F310" s="283"/>
      <c r="G310" s="283"/>
      <c r="H310" s="283"/>
      <c r="I310" s="283">
        <v>322</v>
      </c>
      <c r="J310" s="284">
        <v>8.5</v>
      </c>
      <c r="K310" s="284"/>
      <c r="L310" s="283">
        <v>2737</v>
      </c>
      <c r="M310" s="283"/>
      <c r="N310" s="298">
        <f ca="1">工程量核对表!F309</f>
        <v>0</v>
      </c>
      <c r="O310" s="213">
        <f>J310/1.11*1.0319</f>
        <v>7.90193693693694</v>
      </c>
      <c r="P310" s="213"/>
      <c r="Q310" s="312">
        <f ca="1">N310*O310</f>
        <v>0</v>
      </c>
      <c r="R310" s="312"/>
      <c r="S310" s="213">
        <f ca="1" t="shared" si="103"/>
        <v>0</v>
      </c>
      <c r="T310" s="298">
        <f ca="1" t="shared" si="104"/>
        <v>-2737</v>
      </c>
      <c r="U310" s="313"/>
    </row>
    <row r="311" s="162" customFormat="1" ht="25" customHeight="1" spans="1:21">
      <c r="A311" s="208">
        <f>工程量核对表!A310</f>
        <v>3</v>
      </c>
      <c r="B311" s="282" t="str">
        <f>工程量核对表!B310</f>
        <v>dn80mm钢管人力二次运输</v>
      </c>
      <c r="C311" s="210" t="str">
        <f>工程量核对表!C310</f>
        <v>m</v>
      </c>
      <c r="D311" s="283"/>
      <c r="E311" s="283"/>
      <c r="F311" s="283"/>
      <c r="G311" s="283"/>
      <c r="H311" s="283"/>
      <c r="I311" s="283">
        <v>5088</v>
      </c>
      <c r="J311" s="284">
        <v>2</v>
      </c>
      <c r="K311" s="284"/>
      <c r="L311" s="283">
        <v>10176</v>
      </c>
      <c r="M311" s="283"/>
      <c r="N311" s="298">
        <f ca="1">工程量核对表!F310</f>
        <v>0</v>
      </c>
      <c r="O311" s="213">
        <f>J311/1.11*1.0319</f>
        <v>1.85927927927928</v>
      </c>
      <c r="P311" s="213"/>
      <c r="Q311" s="312">
        <f ca="1">N311*O311</f>
        <v>0</v>
      </c>
      <c r="R311" s="312"/>
      <c r="S311" s="213">
        <f ca="1" t="shared" si="103"/>
        <v>0</v>
      </c>
      <c r="T311" s="298">
        <f ca="1" t="shared" si="104"/>
        <v>-10176</v>
      </c>
      <c r="U311" s="313"/>
    </row>
    <row r="312" s="162" customFormat="1" ht="25" customHeight="1" spans="1:21">
      <c r="A312" s="208">
        <f>工程量核对表!A311</f>
        <v>4</v>
      </c>
      <c r="B312" s="282" t="str">
        <f>工程量核对表!B311</f>
        <v>dn40mm钢管人力二次运输</v>
      </c>
      <c r="C312" s="210" t="str">
        <f>工程量核对表!C311</f>
        <v>m</v>
      </c>
      <c r="D312" s="283"/>
      <c r="E312" s="283"/>
      <c r="F312" s="283"/>
      <c r="G312" s="283"/>
      <c r="H312" s="283"/>
      <c r="I312" s="283">
        <v>4002</v>
      </c>
      <c r="J312" s="284">
        <v>3</v>
      </c>
      <c r="K312" s="284"/>
      <c r="L312" s="283">
        <v>12006</v>
      </c>
      <c r="M312" s="283"/>
      <c r="N312" s="298">
        <f ca="1">工程量核对表!F311</f>
        <v>0</v>
      </c>
      <c r="O312" s="213">
        <f>J312/1.11*1.0319</f>
        <v>2.78891891891892</v>
      </c>
      <c r="P312" s="213"/>
      <c r="Q312" s="312">
        <f ca="1">N312*O312</f>
        <v>0</v>
      </c>
      <c r="R312" s="312"/>
      <c r="S312" s="213">
        <f ca="1" t="shared" si="103"/>
        <v>0</v>
      </c>
      <c r="T312" s="298">
        <f ca="1" t="shared" si="104"/>
        <v>-12006</v>
      </c>
      <c r="U312" s="313"/>
    </row>
    <row r="313" s="162" customFormat="1" ht="25" customHeight="1" spans="1:21">
      <c r="A313" s="272" t="str">
        <f>工程量核对表!A312</f>
        <v> </v>
      </c>
      <c r="B313" s="315" t="str">
        <f>工程量核对表!B312</f>
        <v>第二部分  金属结构设备及安装工程</v>
      </c>
      <c r="C313" s="316" t="str">
        <f>工程量核对表!C312</f>
        <v/>
      </c>
      <c r="D313" s="273"/>
      <c r="E313" s="273"/>
      <c r="F313" s="273"/>
      <c r="G313" s="273">
        <f>G375</f>
        <v>1078630.31</v>
      </c>
      <c r="H313" s="273">
        <f>H314</f>
        <v>218960</v>
      </c>
      <c r="I313" s="273"/>
      <c r="J313" s="290"/>
      <c r="K313" s="290"/>
      <c r="L313" s="273">
        <f>L329+L314+L375</f>
        <v>425899.91</v>
      </c>
      <c r="M313" s="273">
        <f>M329+M314+M375</f>
        <v>195983.12</v>
      </c>
      <c r="N313" s="291"/>
      <c r="O313" s="292"/>
      <c r="P313" s="292"/>
      <c r="Q313" s="306">
        <f ca="1">Q329+Q314+Q375</f>
        <v>333728.262235135</v>
      </c>
      <c r="R313" s="306">
        <f ca="1">R329+R314+R375</f>
        <v>148001.41954955</v>
      </c>
      <c r="S313" s="306">
        <f ca="1" t="shared" ref="Q313:T313" si="105">S329+S314+S375</f>
        <v>-823384.759602703</v>
      </c>
      <c r="T313" s="306">
        <f ca="1" t="shared" si="105"/>
        <v>-140153.348215315</v>
      </c>
      <c r="U313" s="307"/>
    </row>
    <row r="314" s="162" customFormat="1" ht="25" customHeight="1" spans="1:21">
      <c r="A314" s="274" t="str">
        <f>工程量核对表!A313</f>
        <v>一</v>
      </c>
      <c r="B314" s="275" t="str">
        <f>工程量核对表!B313</f>
        <v>管道安装费</v>
      </c>
      <c r="C314" s="276" t="str">
        <f>工程量核对表!C313</f>
        <v/>
      </c>
      <c r="D314" s="277"/>
      <c r="E314" s="277"/>
      <c r="F314" s="277"/>
      <c r="G314" s="277"/>
      <c r="H314" s="277">
        <v>218960</v>
      </c>
      <c r="I314" s="277"/>
      <c r="J314" s="293"/>
      <c r="K314" s="293"/>
      <c r="L314" s="277">
        <v>0</v>
      </c>
      <c r="M314" s="277">
        <v>195983.12</v>
      </c>
      <c r="N314" s="294"/>
      <c r="O314" s="295"/>
      <c r="P314" s="295"/>
      <c r="Q314" s="308">
        <f ca="1">SUM(Q315:Q328)</f>
        <v>7524.13138738739</v>
      </c>
      <c r="R314" s="308">
        <f ca="1">SUM(R315:R328)</f>
        <v>148001.41954955</v>
      </c>
      <c r="S314" s="308">
        <f ca="1">SUM(S315:S328)</f>
        <v>-70958.5804504503</v>
      </c>
      <c r="T314" s="308">
        <f ca="1">SUM(T315:T328)</f>
        <v>-40457.5690630629</v>
      </c>
      <c r="U314" s="309"/>
    </row>
    <row r="315" s="162" customFormat="1" ht="25" customHeight="1" spans="1:21">
      <c r="A315" s="208">
        <f>工程量核对表!A314</f>
        <v>1</v>
      </c>
      <c r="B315" s="282" t="str">
        <f>工程量核对表!B314</f>
        <v>dn100热镀钢管</v>
      </c>
      <c r="C315" s="210" t="str">
        <f>工程量核对表!C314</f>
        <v>m</v>
      </c>
      <c r="D315" s="283">
        <v>8000</v>
      </c>
      <c r="E315" s="283"/>
      <c r="F315" s="283">
        <v>16</v>
      </c>
      <c r="G315" s="283"/>
      <c r="H315" s="283">
        <v>128000</v>
      </c>
      <c r="I315" s="283"/>
      <c r="J315" s="284"/>
      <c r="K315" s="284"/>
      <c r="L315" s="283"/>
      <c r="M315" s="283"/>
      <c r="N315" s="298"/>
      <c r="O315" s="213"/>
      <c r="P315" s="213"/>
      <c r="Q315" s="312"/>
      <c r="R315" s="312"/>
      <c r="S315" s="213">
        <f t="shared" ref="S315:S328" si="106">R315-H315</f>
        <v>-128000</v>
      </c>
      <c r="T315" s="298">
        <f t="shared" ref="T315:T328" si="107">R315-M315</f>
        <v>0</v>
      </c>
      <c r="U315" s="313"/>
    </row>
    <row r="316" s="162" customFormat="1" ht="25" customHeight="1" spans="1:21">
      <c r="A316" s="208">
        <f>工程量核对表!A315</f>
        <v>2</v>
      </c>
      <c r="B316" s="282" t="str">
        <f>工程量核对表!B315</f>
        <v>dn63mmPE管安装（供水主管）</v>
      </c>
      <c r="C316" s="210" t="str">
        <f>工程量核对表!C315</f>
        <v>m</v>
      </c>
      <c r="D316" s="283">
        <v>3400</v>
      </c>
      <c r="E316" s="283"/>
      <c r="F316" s="283">
        <v>3.5</v>
      </c>
      <c r="G316" s="283"/>
      <c r="H316" s="283">
        <f t="shared" ref="H316:H321" si="108">D316*F316</f>
        <v>11900</v>
      </c>
      <c r="I316" s="283">
        <v>2500</v>
      </c>
      <c r="J316" s="284"/>
      <c r="K316" s="284">
        <v>4.55</v>
      </c>
      <c r="L316" s="283"/>
      <c r="M316" s="283">
        <v>11375</v>
      </c>
      <c r="N316" s="298">
        <f ca="1">工程量核对表!F315</f>
        <v>2500</v>
      </c>
      <c r="O316" s="213"/>
      <c r="P316" s="213">
        <f t="shared" ref="P316:P321" si="109">F316/1.11*1.0319</f>
        <v>3.25373873873874</v>
      </c>
      <c r="Q316" s="312"/>
      <c r="R316" s="312">
        <f ca="1" t="shared" ref="R316:R328" si="110">N316*P316</f>
        <v>8134.34684684685</v>
      </c>
      <c r="S316" s="213">
        <f ca="1" t="shared" si="106"/>
        <v>-3765.65315315315</v>
      </c>
      <c r="T316" s="298">
        <f ca="1" t="shared" si="107"/>
        <v>-3240.65315315315</v>
      </c>
      <c r="U316" s="313" t="s">
        <v>45</v>
      </c>
    </row>
    <row r="317" s="162" customFormat="1" ht="25" customHeight="1" spans="1:21">
      <c r="A317" s="208">
        <f>工程量核对表!A316</f>
        <v>3</v>
      </c>
      <c r="B317" s="282" t="str">
        <f>工程量核对表!B316</f>
        <v>dn50mmPE管安装（供水主管）</v>
      </c>
      <c r="C317" s="210" t="str">
        <f>工程量核对表!C316</f>
        <v>m</v>
      </c>
      <c r="D317" s="283">
        <v>7000</v>
      </c>
      <c r="E317" s="283"/>
      <c r="F317" s="283">
        <v>2.5</v>
      </c>
      <c r="G317" s="283"/>
      <c r="H317" s="283">
        <f t="shared" si="108"/>
        <v>17500</v>
      </c>
      <c r="I317" s="283">
        <v>3800</v>
      </c>
      <c r="J317" s="284"/>
      <c r="K317" s="284">
        <v>2.83</v>
      </c>
      <c r="L317" s="283"/>
      <c r="M317" s="283">
        <v>10754</v>
      </c>
      <c r="N317" s="298">
        <f ca="1">工程量核对表!F316</f>
        <v>3800</v>
      </c>
      <c r="O317" s="213"/>
      <c r="P317" s="213">
        <f t="shared" si="109"/>
        <v>2.3240990990991</v>
      </c>
      <c r="Q317" s="312"/>
      <c r="R317" s="312">
        <f ca="1" t="shared" si="110"/>
        <v>8831.57657657658</v>
      </c>
      <c r="S317" s="213">
        <f ca="1" t="shared" si="106"/>
        <v>-8668.42342342342</v>
      </c>
      <c r="T317" s="298">
        <f ca="1" t="shared" si="107"/>
        <v>-1922.42342342342</v>
      </c>
      <c r="U317" s="313" t="s">
        <v>45</v>
      </c>
    </row>
    <row r="318" s="162" customFormat="1" ht="25" customHeight="1" spans="1:21">
      <c r="A318" s="208">
        <f>工程量核对表!A317</f>
        <v>4</v>
      </c>
      <c r="B318" s="282" t="str">
        <f>工程量核对表!B317</f>
        <v>dn40mmPE管安装（供水主管）</v>
      </c>
      <c r="C318" s="210" t="str">
        <f>工程量核对表!C317</f>
        <v>m</v>
      </c>
      <c r="D318" s="283">
        <v>6800</v>
      </c>
      <c r="E318" s="283"/>
      <c r="F318" s="283">
        <v>1.5</v>
      </c>
      <c r="G318" s="283"/>
      <c r="H318" s="283">
        <f t="shared" si="108"/>
        <v>10200</v>
      </c>
      <c r="I318" s="283">
        <v>2000</v>
      </c>
      <c r="J318" s="284"/>
      <c r="K318" s="284">
        <v>2.54</v>
      </c>
      <c r="L318" s="283"/>
      <c r="M318" s="283">
        <v>5080</v>
      </c>
      <c r="N318" s="298">
        <f ca="1">工程量核对表!F317</f>
        <v>2000</v>
      </c>
      <c r="O318" s="213"/>
      <c r="P318" s="213">
        <f t="shared" si="109"/>
        <v>1.39445945945946</v>
      </c>
      <c r="Q318" s="312"/>
      <c r="R318" s="312">
        <f ca="1" t="shared" si="110"/>
        <v>2788.91891891892</v>
      </c>
      <c r="S318" s="213">
        <f ca="1" t="shared" si="106"/>
        <v>-7411.08108108108</v>
      </c>
      <c r="T318" s="298">
        <f ca="1" t="shared" si="107"/>
        <v>-2291.08108108108</v>
      </c>
      <c r="U318" s="313" t="s">
        <v>45</v>
      </c>
    </row>
    <row r="319" s="162" customFormat="1" ht="25" customHeight="1" spans="1:21">
      <c r="A319" s="208">
        <f>工程量核对表!A318</f>
        <v>5</v>
      </c>
      <c r="B319" s="282" t="str">
        <f>工程量核对表!B318</f>
        <v>dn32mmPE管安装（供水主管）</v>
      </c>
      <c r="C319" s="210" t="str">
        <f>工程量核对表!C318</f>
        <v>m</v>
      </c>
      <c r="D319" s="283">
        <v>16100</v>
      </c>
      <c r="E319" s="283"/>
      <c r="F319" s="283">
        <v>0.8</v>
      </c>
      <c r="G319" s="283"/>
      <c r="H319" s="283">
        <f t="shared" si="108"/>
        <v>12880</v>
      </c>
      <c r="I319" s="283">
        <v>12000</v>
      </c>
      <c r="J319" s="284"/>
      <c r="K319" s="284">
        <v>1.68</v>
      </c>
      <c r="L319" s="283"/>
      <c r="M319" s="283">
        <v>20160</v>
      </c>
      <c r="N319" s="298">
        <f ca="1">工程量核对表!F318</f>
        <v>12000</v>
      </c>
      <c r="O319" s="213"/>
      <c r="P319" s="213">
        <f t="shared" si="109"/>
        <v>0.743711711711712</v>
      </c>
      <c r="Q319" s="312"/>
      <c r="R319" s="312">
        <f ca="1" t="shared" si="110"/>
        <v>8924.54054054054</v>
      </c>
      <c r="S319" s="213">
        <f ca="1" t="shared" si="106"/>
        <v>-3955.45945945946</v>
      </c>
      <c r="T319" s="298">
        <f ca="1" t="shared" si="107"/>
        <v>-11235.4594594595</v>
      </c>
      <c r="U319" s="313" t="s">
        <v>45</v>
      </c>
    </row>
    <row r="320" s="162" customFormat="1" ht="25" customHeight="1" spans="1:21">
      <c r="A320" s="208">
        <f>工程量核对表!A319</f>
        <v>6</v>
      </c>
      <c r="B320" s="282" t="str">
        <f>工程量核对表!B319</f>
        <v>dn25mmPE管安装（供水主管）</v>
      </c>
      <c r="C320" s="210" t="str">
        <f>工程量核对表!C319</f>
        <v>m</v>
      </c>
      <c r="D320" s="283">
        <v>17700</v>
      </c>
      <c r="E320" s="283"/>
      <c r="F320" s="283">
        <v>0.8</v>
      </c>
      <c r="G320" s="283"/>
      <c r="H320" s="283">
        <f t="shared" si="108"/>
        <v>14160</v>
      </c>
      <c r="I320" s="283">
        <v>8800</v>
      </c>
      <c r="J320" s="284"/>
      <c r="K320" s="284">
        <v>1.04</v>
      </c>
      <c r="L320" s="283"/>
      <c r="M320" s="283">
        <v>9152</v>
      </c>
      <c r="N320" s="298">
        <f ca="1">工程量核对表!F319</f>
        <v>8800</v>
      </c>
      <c r="O320" s="213"/>
      <c r="P320" s="213">
        <f t="shared" si="109"/>
        <v>0.743711711711712</v>
      </c>
      <c r="Q320" s="312"/>
      <c r="R320" s="312">
        <f ca="1" t="shared" si="110"/>
        <v>6544.66306306307</v>
      </c>
      <c r="S320" s="213">
        <f ca="1" t="shared" si="106"/>
        <v>-7615.33693693693</v>
      </c>
      <c r="T320" s="298">
        <f ca="1" t="shared" si="107"/>
        <v>-2607.33693693693</v>
      </c>
      <c r="U320" s="313" t="s">
        <v>45</v>
      </c>
    </row>
    <row r="321" s="162" customFormat="1" ht="25" customHeight="1" spans="1:21">
      <c r="A321" s="208">
        <f>工程量核对表!A320</f>
        <v>7</v>
      </c>
      <c r="B321" s="282" t="str">
        <f>工程量核对表!B320</f>
        <v>dn20mmPE管安装（下户管）</v>
      </c>
      <c r="C321" s="210" t="str">
        <f>工程量核对表!C320</f>
        <v>m</v>
      </c>
      <c r="D321" s="283">
        <v>30400</v>
      </c>
      <c r="E321" s="283"/>
      <c r="F321" s="283">
        <v>0.8</v>
      </c>
      <c r="G321" s="283"/>
      <c r="H321" s="283">
        <f t="shared" si="108"/>
        <v>24320</v>
      </c>
      <c r="I321" s="283">
        <v>16900</v>
      </c>
      <c r="J321" s="284"/>
      <c r="K321" s="284">
        <v>0.87</v>
      </c>
      <c r="L321" s="283"/>
      <c r="M321" s="283">
        <v>14703</v>
      </c>
      <c r="N321" s="298">
        <f ca="1">工程量核对表!F320</f>
        <v>16900</v>
      </c>
      <c r="O321" s="213"/>
      <c r="P321" s="213">
        <f t="shared" si="109"/>
        <v>0.743711711711712</v>
      </c>
      <c r="Q321" s="312"/>
      <c r="R321" s="312">
        <f ca="1" t="shared" si="110"/>
        <v>12568.7279279279</v>
      </c>
      <c r="S321" s="213">
        <f ca="1" t="shared" si="106"/>
        <v>-11751.2720720721</v>
      </c>
      <c r="T321" s="298">
        <f ca="1" t="shared" si="107"/>
        <v>-2134.27207207207</v>
      </c>
      <c r="U321" s="313" t="s">
        <v>45</v>
      </c>
    </row>
    <row r="322" s="162" customFormat="1" ht="25" customHeight="1" spans="1:21">
      <c r="A322" s="208" t="str">
        <f>工程量核对表!A321</f>
        <v>新增</v>
      </c>
      <c r="B322" s="282" t="str">
        <f>工程量核对表!B321</f>
        <v>dn80热镀钢管安装</v>
      </c>
      <c r="C322" s="210" t="str">
        <f>工程量核对表!C321</f>
        <v>m</v>
      </c>
      <c r="D322" s="283"/>
      <c r="E322" s="283"/>
      <c r="F322" s="283"/>
      <c r="G322" s="283"/>
      <c r="H322" s="283"/>
      <c r="I322" s="283">
        <v>5088</v>
      </c>
      <c r="J322" s="284"/>
      <c r="K322" s="284">
        <v>16</v>
      </c>
      <c r="L322" s="283"/>
      <c r="M322" s="283">
        <v>81408</v>
      </c>
      <c r="N322" s="298">
        <f ca="1">工程量核对表!F321</f>
        <v>5088</v>
      </c>
      <c r="O322" s="213"/>
      <c r="P322" s="213">
        <f>14.5/1.11*1.0319</f>
        <v>13.4797747747748</v>
      </c>
      <c r="Q322" s="312"/>
      <c r="R322" s="312">
        <f ca="1" t="shared" si="110"/>
        <v>68585.0940540542</v>
      </c>
      <c r="S322" s="213">
        <f ca="1" t="shared" si="106"/>
        <v>68585.0940540542</v>
      </c>
      <c r="T322" s="298">
        <f ca="1" t="shared" si="107"/>
        <v>-12822.9059459458</v>
      </c>
      <c r="U322" s="313" t="s">
        <v>60</v>
      </c>
    </row>
    <row r="323" s="162" customFormat="1" ht="25" customHeight="1" spans="1:21">
      <c r="A323" s="208" t="str">
        <f>工程量核对表!A322</f>
        <v>新增</v>
      </c>
      <c r="B323" s="282" t="str">
        <f>工程量核对表!B322</f>
        <v>dn40热镀钢管安装</v>
      </c>
      <c r="C323" s="210" t="str">
        <f>工程量核对表!C322</f>
        <v>m</v>
      </c>
      <c r="D323" s="283"/>
      <c r="E323" s="283"/>
      <c r="F323" s="283"/>
      <c r="G323" s="283"/>
      <c r="H323" s="283"/>
      <c r="I323" s="283">
        <v>4002</v>
      </c>
      <c r="J323" s="284"/>
      <c r="K323" s="284">
        <v>8.5</v>
      </c>
      <c r="L323" s="283"/>
      <c r="M323" s="283">
        <v>34017</v>
      </c>
      <c r="N323" s="298">
        <f ca="1">工程量核对表!F322</f>
        <v>4002</v>
      </c>
      <c r="O323" s="213"/>
      <c r="P323" s="213">
        <f>K323/1.11*1.0319</f>
        <v>7.90193693693694</v>
      </c>
      <c r="Q323" s="312"/>
      <c r="R323" s="312">
        <f ca="1" t="shared" si="110"/>
        <v>31623.5516216216</v>
      </c>
      <c r="S323" s="213">
        <f ca="1" t="shared" si="106"/>
        <v>31623.5516216216</v>
      </c>
      <c r="T323" s="298">
        <f ca="1" t="shared" si="107"/>
        <v>-2393.44837837837</v>
      </c>
      <c r="U323" s="313" t="s">
        <v>60</v>
      </c>
    </row>
    <row r="324" s="162" customFormat="1" ht="25" customHeight="1" spans="1:21">
      <c r="A324" s="208" t="str">
        <f>工程量核对表!A323</f>
        <v>新增</v>
      </c>
      <c r="B324" s="282" t="str">
        <f>工程量核对表!B323</f>
        <v>dn80mm闸阀购、运、安</v>
      </c>
      <c r="C324" s="210" t="str">
        <f>工程量核对表!C323</f>
        <v>套</v>
      </c>
      <c r="D324" s="283"/>
      <c r="E324" s="283"/>
      <c r="F324" s="283"/>
      <c r="G324" s="283"/>
      <c r="H324" s="283"/>
      <c r="I324" s="283">
        <v>4</v>
      </c>
      <c r="J324" s="284"/>
      <c r="K324" s="284">
        <v>710.13</v>
      </c>
      <c r="L324" s="283"/>
      <c r="M324" s="283">
        <v>2840.52</v>
      </c>
      <c r="N324" s="298">
        <f ca="1">工程量核对表!F323</f>
        <v>4</v>
      </c>
      <c r="O324" s="213">
        <f>O332</f>
        <v>371.855855855856</v>
      </c>
      <c r="P324" s="213"/>
      <c r="Q324" s="312">
        <f ca="1">N324*O324</f>
        <v>1487.42342342342</v>
      </c>
      <c r="R324" s="312">
        <f ca="1" t="shared" si="110"/>
        <v>0</v>
      </c>
      <c r="S324" s="213">
        <f ca="1" t="shared" si="106"/>
        <v>0</v>
      </c>
      <c r="T324" s="298">
        <f ca="1">Q324+R324-L324-M324</f>
        <v>-1353.09657657658</v>
      </c>
      <c r="U324" s="313" t="s">
        <v>60</v>
      </c>
    </row>
    <row r="325" s="162" customFormat="1" ht="25" customHeight="1" spans="1:21">
      <c r="A325" s="208" t="str">
        <f>工程量核对表!A324</f>
        <v>新增</v>
      </c>
      <c r="B325" s="282" t="str">
        <f>工程量核对表!B324</f>
        <v>dn40mm闸阀购、运、安</v>
      </c>
      <c r="C325" s="210" t="str">
        <f>工程量核对表!C324</f>
        <v>套</v>
      </c>
      <c r="D325" s="283"/>
      <c r="E325" s="283"/>
      <c r="F325" s="283"/>
      <c r="G325" s="283"/>
      <c r="H325" s="283"/>
      <c r="I325" s="283">
        <v>2</v>
      </c>
      <c r="J325" s="284"/>
      <c r="K325" s="284">
        <v>346.8</v>
      </c>
      <c r="L325" s="283"/>
      <c r="M325" s="283">
        <v>693.6</v>
      </c>
      <c r="N325" s="298">
        <f ca="1">工程量核对表!F324</f>
        <v>2</v>
      </c>
      <c r="O325" s="213">
        <f>K325/1.11*1.0319</f>
        <v>322.399027027027</v>
      </c>
      <c r="P325" s="213"/>
      <c r="Q325" s="312">
        <f ca="1" t="shared" ref="Q324:Q328" si="111">N325*O325</f>
        <v>644.798054054054</v>
      </c>
      <c r="R325" s="312">
        <f ca="1" t="shared" si="110"/>
        <v>0</v>
      </c>
      <c r="S325" s="213">
        <f ca="1" t="shared" si="106"/>
        <v>0</v>
      </c>
      <c r="T325" s="298">
        <f ca="1">Q325+R325-L325-M325</f>
        <v>-48.801945945946</v>
      </c>
      <c r="U325" s="313" t="s">
        <v>60</v>
      </c>
    </row>
    <row r="326" s="162" customFormat="1" ht="25" customHeight="1" spans="1:21">
      <c r="A326" s="208" t="str">
        <f>工程量核对表!A325</f>
        <v>新增</v>
      </c>
      <c r="B326" s="282" t="str">
        <f>工程量核对表!B325</f>
        <v>dn40mm减压阀购、运、安</v>
      </c>
      <c r="C326" s="210" t="str">
        <f>工程量核对表!C325</f>
        <v>套</v>
      </c>
      <c r="D326" s="283"/>
      <c r="E326" s="283"/>
      <c r="F326" s="283"/>
      <c r="G326" s="283"/>
      <c r="H326" s="283"/>
      <c r="I326" s="283">
        <v>4</v>
      </c>
      <c r="J326" s="284"/>
      <c r="K326" s="284">
        <v>310</v>
      </c>
      <c r="L326" s="283"/>
      <c r="M326" s="283">
        <v>1240</v>
      </c>
      <c r="N326" s="298">
        <f ca="1">工程量核对表!F325</f>
        <v>4</v>
      </c>
      <c r="O326" s="213">
        <f>K326/1.11*1.0319</f>
        <v>288.188288288288</v>
      </c>
      <c r="P326" s="213"/>
      <c r="Q326" s="312">
        <f ca="1" t="shared" si="111"/>
        <v>1152.75315315315</v>
      </c>
      <c r="R326" s="312">
        <f ca="1" t="shared" si="110"/>
        <v>0</v>
      </c>
      <c r="S326" s="213">
        <f ca="1" t="shared" si="106"/>
        <v>0</v>
      </c>
      <c r="T326" s="298">
        <f ca="1">Q326+R326-L326-M326</f>
        <v>-87.246846846848</v>
      </c>
      <c r="U326" s="313" t="s">
        <v>60</v>
      </c>
    </row>
    <row r="327" s="162" customFormat="1" ht="25" customHeight="1" spans="1:21">
      <c r="A327" s="208" t="str">
        <f>工程量核对表!A326</f>
        <v>新增</v>
      </c>
      <c r="B327" s="282" t="str">
        <f>工程量核对表!B326</f>
        <v>dn25mm减压阀购、运、安</v>
      </c>
      <c r="C327" s="210" t="str">
        <f>工程量核对表!C326</f>
        <v>套</v>
      </c>
      <c r="D327" s="283"/>
      <c r="E327" s="283"/>
      <c r="F327" s="283"/>
      <c r="G327" s="283"/>
      <c r="H327" s="283"/>
      <c r="I327" s="283">
        <v>8</v>
      </c>
      <c r="J327" s="284"/>
      <c r="K327" s="284">
        <v>270</v>
      </c>
      <c r="L327" s="283"/>
      <c r="M327" s="283">
        <v>2160</v>
      </c>
      <c r="N327" s="298">
        <f ca="1">工程量核对表!F326</f>
        <v>8</v>
      </c>
      <c r="O327" s="213">
        <f>K327/1.11*1.0319</f>
        <v>251.002702702703</v>
      </c>
      <c r="P327" s="213"/>
      <c r="Q327" s="312">
        <f ca="1" t="shared" si="111"/>
        <v>2008.02162162162</v>
      </c>
      <c r="R327" s="312">
        <f ca="1" t="shared" si="110"/>
        <v>0</v>
      </c>
      <c r="S327" s="213">
        <f ca="1" t="shared" si="106"/>
        <v>0</v>
      </c>
      <c r="T327" s="298">
        <f ca="1">Q327+R327-L327-M327</f>
        <v>-151.978378378376</v>
      </c>
      <c r="U327" s="313" t="s">
        <v>60</v>
      </c>
    </row>
    <row r="328" s="162" customFormat="1" ht="25" customHeight="1" spans="1:21">
      <c r="A328" s="208" t="str">
        <f>工程量核对表!A327</f>
        <v>新增</v>
      </c>
      <c r="B328" s="282" t="str">
        <f>工程量核对表!B327</f>
        <v>dn25mm减压阀购、运、安</v>
      </c>
      <c r="C328" s="210" t="str">
        <f>工程量核对表!C327</f>
        <v>套</v>
      </c>
      <c r="D328" s="283"/>
      <c r="E328" s="283"/>
      <c r="F328" s="283"/>
      <c r="G328" s="283"/>
      <c r="H328" s="283"/>
      <c r="I328" s="283">
        <v>10</v>
      </c>
      <c r="J328" s="284"/>
      <c r="K328" s="284">
        <v>240</v>
      </c>
      <c r="L328" s="283"/>
      <c r="M328" s="283">
        <v>2400</v>
      </c>
      <c r="N328" s="298">
        <f ca="1">工程量核对表!F327</f>
        <v>10</v>
      </c>
      <c r="O328" s="213">
        <f>K328/1.11*1.0319</f>
        <v>223.113513513514</v>
      </c>
      <c r="P328" s="213"/>
      <c r="Q328" s="312">
        <f ca="1" t="shared" si="111"/>
        <v>2231.13513513514</v>
      </c>
      <c r="R328" s="312">
        <f ca="1" t="shared" si="110"/>
        <v>0</v>
      </c>
      <c r="S328" s="213">
        <f ca="1" t="shared" si="106"/>
        <v>0</v>
      </c>
      <c r="T328" s="298">
        <f ca="1">Q328+R328-L328-M328</f>
        <v>-168.86486486486</v>
      </c>
      <c r="U328" s="313" t="s">
        <v>60</v>
      </c>
    </row>
    <row r="329" s="162" customFormat="1" ht="25" customHeight="1" spans="1:21">
      <c r="A329" s="274" t="str">
        <f>工程量核对表!A328</f>
        <v>二</v>
      </c>
      <c r="B329" s="275" t="str">
        <f>工程量核对表!B328</f>
        <v>供水工程</v>
      </c>
      <c r="C329" s="276" t="str">
        <f>工程量核对表!C328</f>
        <v/>
      </c>
      <c r="D329" s="277"/>
      <c r="E329" s="277"/>
      <c r="F329" s="277"/>
      <c r="G329" s="277"/>
      <c r="H329" s="277"/>
      <c r="I329" s="277"/>
      <c r="J329" s="293"/>
      <c r="K329" s="293"/>
      <c r="L329" s="277">
        <v>100707.25</v>
      </c>
      <c r="M329" s="277"/>
      <c r="N329" s="294"/>
      <c r="O329" s="295"/>
      <c r="P329" s="295"/>
      <c r="Q329" s="308">
        <f ca="1" t="shared" ref="Q329:T329" si="112">Q330+Q339+Q347+Q355+Q363+Q371</f>
        <v>5860.81084774775</v>
      </c>
      <c r="R329" s="308"/>
      <c r="S329" s="308">
        <f ca="1" t="shared" si="112"/>
        <v>5860.81084774775</v>
      </c>
      <c r="T329" s="308">
        <f ca="1" t="shared" si="112"/>
        <v>-94846.4391522523</v>
      </c>
      <c r="U329" s="309"/>
    </row>
    <row r="330" s="162" customFormat="1" ht="25" customHeight="1" spans="1:21">
      <c r="A330" s="278" t="str">
        <f>工程量核对表!A329</f>
        <v>(一)</v>
      </c>
      <c r="B330" s="279" t="str">
        <f>工程量核对表!B329</f>
        <v>张家湾供水工程</v>
      </c>
      <c r="C330" s="280" t="str">
        <f>工程量核对表!C329</f>
        <v/>
      </c>
      <c r="D330" s="281"/>
      <c r="E330" s="281"/>
      <c r="F330" s="281"/>
      <c r="G330" s="281"/>
      <c r="H330" s="281"/>
      <c r="I330" s="281"/>
      <c r="J330" s="285"/>
      <c r="K330" s="285"/>
      <c r="L330" s="281">
        <v>40428.23</v>
      </c>
      <c r="M330" s="281"/>
      <c r="N330" s="296"/>
      <c r="O330" s="297"/>
      <c r="P330" s="297"/>
      <c r="Q330" s="310">
        <f ca="1" t="shared" ref="Q330:T330" si="113">SUM(Q331:Q338)</f>
        <v>1070.02452162162</v>
      </c>
      <c r="R330" s="310"/>
      <c r="S330" s="310">
        <f ca="1" t="shared" si="113"/>
        <v>1070.02452162162</v>
      </c>
      <c r="T330" s="310">
        <f ca="1" t="shared" si="113"/>
        <v>-39358.2054783784</v>
      </c>
      <c r="U330" s="311"/>
    </row>
    <row r="331" s="162" customFormat="1" ht="25" customHeight="1" spans="1:21">
      <c r="A331" s="208">
        <f>工程量核对表!A330</f>
        <v>1</v>
      </c>
      <c r="B331" s="282" t="str">
        <f>工程量核对表!B330</f>
        <v>dn90mmPE管购、运、安</v>
      </c>
      <c r="C331" s="210" t="str">
        <f>工程量核对表!C330</f>
        <v>m</v>
      </c>
      <c r="D331" s="283"/>
      <c r="E331" s="283"/>
      <c r="F331" s="283"/>
      <c r="G331" s="283"/>
      <c r="H331" s="283"/>
      <c r="I331" s="283">
        <v>3</v>
      </c>
      <c r="J331" s="284">
        <v>61</v>
      </c>
      <c r="K331" s="284"/>
      <c r="L331" s="283">
        <v>183</v>
      </c>
      <c r="M331" s="283"/>
      <c r="N331" s="298">
        <f ca="1">工程量核对表!F330</f>
        <v>3</v>
      </c>
      <c r="O331" s="213">
        <f>J331/1.11*1.0319</f>
        <v>56.708018018018</v>
      </c>
      <c r="P331" s="213"/>
      <c r="Q331" s="312">
        <f ca="1">N331*O331</f>
        <v>170.124054054054</v>
      </c>
      <c r="R331" s="312"/>
      <c r="S331" s="213">
        <f ca="1" t="shared" ref="S331:S338" si="114">Q331-G331</f>
        <v>170.124054054054</v>
      </c>
      <c r="T331" s="298">
        <f ca="1" t="shared" ref="T331:T338" si="115">Q331-L331</f>
        <v>-12.875945945946</v>
      </c>
      <c r="U331" s="313" t="s">
        <v>60</v>
      </c>
    </row>
    <row r="332" s="162" customFormat="1" ht="25" customHeight="1" spans="1:21">
      <c r="A332" s="208">
        <f>工程量核对表!A331</f>
        <v>2</v>
      </c>
      <c r="B332" s="282" t="str">
        <f>工程量核对表!B331</f>
        <v>dn80mm闸阀购、运、安</v>
      </c>
      <c r="C332" s="210" t="str">
        <f>工程量核对表!C331</f>
        <v>个</v>
      </c>
      <c r="D332" s="283"/>
      <c r="E332" s="283"/>
      <c r="F332" s="283"/>
      <c r="G332" s="283"/>
      <c r="H332" s="283"/>
      <c r="I332" s="283">
        <v>1</v>
      </c>
      <c r="J332" s="284">
        <v>710.13</v>
      </c>
      <c r="K332" s="284"/>
      <c r="L332" s="283">
        <v>710.13</v>
      </c>
      <c r="M332" s="283"/>
      <c r="N332" s="298">
        <f ca="1">工程量核对表!F331</f>
        <v>1</v>
      </c>
      <c r="O332" s="213">
        <f>400/1.11*1.0319</f>
        <v>371.855855855856</v>
      </c>
      <c r="P332" s="213"/>
      <c r="Q332" s="312">
        <f ca="1" t="shared" ref="Q332:Q339" si="116">N332*O332</f>
        <v>371.855855855856</v>
      </c>
      <c r="R332" s="312"/>
      <c r="S332" s="213">
        <f ca="1" t="shared" si="114"/>
        <v>371.855855855856</v>
      </c>
      <c r="T332" s="298">
        <f ca="1" t="shared" si="115"/>
        <v>-338.274144144144</v>
      </c>
      <c r="U332" s="313" t="s">
        <v>60</v>
      </c>
    </row>
    <row r="333" s="162" customFormat="1" ht="25" customHeight="1" spans="1:21">
      <c r="A333" s="208">
        <f>工程量核对表!A332</f>
        <v>3</v>
      </c>
      <c r="B333" s="282" t="str">
        <f>工程量核对表!B332</f>
        <v>dn63mmPE管购、运、安</v>
      </c>
      <c r="C333" s="210" t="str">
        <f>工程量核对表!C332</f>
        <v>m</v>
      </c>
      <c r="D333" s="283"/>
      <c r="E333" s="283"/>
      <c r="F333" s="283"/>
      <c r="G333" s="283"/>
      <c r="H333" s="283"/>
      <c r="I333" s="283">
        <v>3</v>
      </c>
      <c r="J333" s="284">
        <v>30.6</v>
      </c>
      <c r="K333" s="284"/>
      <c r="L333" s="283">
        <v>91.8</v>
      </c>
      <c r="M333" s="283"/>
      <c r="N333" s="298">
        <f ca="1">工程量核对表!F332</f>
        <v>3</v>
      </c>
      <c r="O333" s="213">
        <f>(E376+F316)/1.11*1.0319</f>
        <v>26.6527684684685</v>
      </c>
      <c r="P333" s="213"/>
      <c r="Q333" s="312">
        <f ca="1" t="shared" si="116"/>
        <v>79.9583054054055</v>
      </c>
      <c r="R333" s="312"/>
      <c r="S333" s="213">
        <f ca="1" t="shared" si="114"/>
        <v>79.9583054054055</v>
      </c>
      <c r="T333" s="298">
        <f ca="1" t="shared" si="115"/>
        <v>-11.8416945945945</v>
      </c>
      <c r="U333" s="313" t="s">
        <v>45</v>
      </c>
    </row>
    <row r="334" s="162" customFormat="1" ht="25" customHeight="1" spans="1:21">
      <c r="A334" s="208">
        <f>工程量核对表!A333</f>
        <v>4</v>
      </c>
      <c r="B334" s="282" t="str">
        <f>工程量核对表!B333</f>
        <v>dn63mm闸阀购、运、安</v>
      </c>
      <c r="C334" s="210" t="str">
        <f>工程量核对表!C333</f>
        <v>个</v>
      </c>
      <c r="D334" s="283"/>
      <c r="E334" s="283"/>
      <c r="F334" s="283"/>
      <c r="G334" s="283"/>
      <c r="H334" s="283"/>
      <c r="I334" s="283">
        <v>1</v>
      </c>
      <c r="J334" s="284">
        <v>82</v>
      </c>
      <c r="K334" s="284"/>
      <c r="L334" s="283">
        <v>82</v>
      </c>
      <c r="M334" s="283"/>
      <c r="N334" s="298">
        <f ca="1">工程量核对表!F333</f>
        <v>1</v>
      </c>
      <c r="O334" s="213">
        <f>J334/1.11*1.0319</f>
        <v>76.2304504504504</v>
      </c>
      <c r="P334" s="213"/>
      <c r="Q334" s="312">
        <f ca="1" t="shared" si="116"/>
        <v>76.2304504504504</v>
      </c>
      <c r="R334" s="312"/>
      <c r="S334" s="213">
        <f ca="1" t="shared" si="114"/>
        <v>76.2304504504504</v>
      </c>
      <c r="T334" s="298">
        <f ca="1" t="shared" si="115"/>
        <v>-5.76954954954959</v>
      </c>
      <c r="U334" s="313" t="s">
        <v>60</v>
      </c>
    </row>
    <row r="335" s="162" customFormat="1" ht="25" customHeight="1" spans="1:21">
      <c r="A335" s="208">
        <f>工程量核对表!A334</f>
        <v>5</v>
      </c>
      <c r="B335" s="282" t="str">
        <f>工程量核对表!B334</f>
        <v>杀毒器购、运、安</v>
      </c>
      <c r="C335" s="210" t="str">
        <f>工程量核对表!C334</f>
        <v>个</v>
      </c>
      <c r="D335" s="283"/>
      <c r="E335" s="283"/>
      <c r="F335" s="283"/>
      <c r="G335" s="283"/>
      <c r="H335" s="283"/>
      <c r="I335" s="283">
        <v>1</v>
      </c>
      <c r="J335" s="284">
        <v>8000</v>
      </c>
      <c r="K335" s="284"/>
      <c r="L335" s="283">
        <v>8000</v>
      </c>
      <c r="M335" s="283"/>
      <c r="N335" s="298">
        <f ca="1">工程量核对表!F334</f>
        <v>0</v>
      </c>
      <c r="O335" s="213">
        <f t="shared" ref="O332:O338" si="117">J335/1.11*1.0319</f>
        <v>7437.11711711712</v>
      </c>
      <c r="P335" s="213"/>
      <c r="Q335" s="312">
        <f ca="1" t="shared" si="116"/>
        <v>0</v>
      </c>
      <c r="R335" s="312"/>
      <c r="S335" s="213">
        <f ca="1" t="shared" si="114"/>
        <v>0</v>
      </c>
      <c r="T335" s="298">
        <f ca="1" t="shared" si="115"/>
        <v>-8000</v>
      </c>
      <c r="U335" s="313" t="s">
        <v>72</v>
      </c>
    </row>
    <row r="336" s="162" customFormat="1" ht="25" customHeight="1" spans="1:21">
      <c r="A336" s="208">
        <f>工程量核对表!A335</f>
        <v>6</v>
      </c>
      <c r="B336" s="282" t="str">
        <f>工程量核对表!B335</f>
        <v>220V低压供电线路</v>
      </c>
      <c r="C336" s="210" t="str">
        <f>工程量核对表!C335</f>
        <v>km</v>
      </c>
      <c r="D336" s="283"/>
      <c r="E336" s="283"/>
      <c r="F336" s="283"/>
      <c r="G336" s="283"/>
      <c r="H336" s="283"/>
      <c r="I336" s="283">
        <v>0.15</v>
      </c>
      <c r="J336" s="284">
        <v>39742</v>
      </c>
      <c r="K336" s="284"/>
      <c r="L336" s="283">
        <v>5961.3</v>
      </c>
      <c r="M336" s="283"/>
      <c r="N336" s="298">
        <f ca="1">工程量核对表!F335</f>
        <v>0</v>
      </c>
      <c r="O336" s="213">
        <f t="shared" si="117"/>
        <v>36945.7385585586</v>
      </c>
      <c r="P336" s="213"/>
      <c r="Q336" s="312">
        <f ca="1" t="shared" si="116"/>
        <v>0</v>
      </c>
      <c r="R336" s="312"/>
      <c r="S336" s="213">
        <f ca="1" t="shared" si="114"/>
        <v>0</v>
      </c>
      <c r="T336" s="298">
        <f ca="1" t="shared" si="115"/>
        <v>-5961.3</v>
      </c>
      <c r="U336" s="313" t="s">
        <v>72</v>
      </c>
    </row>
    <row r="337" s="162" customFormat="1" ht="25" customHeight="1" spans="1:21">
      <c r="A337" s="208">
        <f>工程量核对表!A336</f>
        <v>7</v>
      </c>
      <c r="B337" s="282" t="str">
        <f>工程量核对表!B336</f>
        <v>浮球阀</v>
      </c>
      <c r="C337" s="210" t="str">
        <f>工程量核对表!C336</f>
        <v>个</v>
      </c>
      <c r="D337" s="283"/>
      <c r="E337" s="283"/>
      <c r="F337" s="283"/>
      <c r="G337" s="283"/>
      <c r="H337" s="283"/>
      <c r="I337" s="283">
        <v>1</v>
      </c>
      <c r="J337" s="284">
        <v>400</v>
      </c>
      <c r="K337" s="284"/>
      <c r="L337" s="283">
        <v>400</v>
      </c>
      <c r="M337" s="283"/>
      <c r="N337" s="298">
        <f ca="1">工程量核对表!F336</f>
        <v>1</v>
      </c>
      <c r="O337" s="213">
        <f t="shared" si="117"/>
        <v>371.855855855856</v>
      </c>
      <c r="P337" s="213"/>
      <c r="Q337" s="312">
        <f ca="1" t="shared" si="116"/>
        <v>371.855855855856</v>
      </c>
      <c r="R337" s="312"/>
      <c r="S337" s="213">
        <f ca="1" t="shared" si="114"/>
        <v>371.855855855856</v>
      </c>
      <c r="T337" s="298">
        <f ca="1" t="shared" si="115"/>
        <v>-28.144144144144</v>
      </c>
      <c r="U337" s="313" t="s">
        <v>60</v>
      </c>
    </row>
    <row r="338" s="162" customFormat="1" ht="25" customHeight="1" spans="1:21">
      <c r="A338" s="208">
        <f>工程量核对表!A337</f>
        <v>8</v>
      </c>
      <c r="B338" s="282" t="str">
        <f>工程量核对表!B337</f>
        <v>一体化净化器购、运、安</v>
      </c>
      <c r="C338" s="210" t="str">
        <f>工程量核对表!C337</f>
        <v>个</v>
      </c>
      <c r="D338" s="283"/>
      <c r="E338" s="283"/>
      <c r="F338" s="283"/>
      <c r="G338" s="283"/>
      <c r="H338" s="283"/>
      <c r="I338" s="283">
        <v>1</v>
      </c>
      <c r="J338" s="284">
        <v>25000</v>
      </c>
      <c r="K338" s="284"/>
      <c r="L338" s="283">
        <v>25000</v>
      </c>
      <c r="M338" s="283"/>
      <c r="N338" s="298">
        <f ca="1">工程量核对表!F337</f>
        <v>0</v>
      </c>
      <c r="O338" s="213">
        <f t="shared" si="117"/>
        <v>23240.990990991</v>
      </c>
      <c r="P338" s="213"/>
      <c r="Q338" s="312">
        <f ca="1" t="shared" si="116"/>
        <v>0</v>
      </c>
      <c r="R338" s="312"/>
      <c r="S338" s="213">
        <f ca="1" t="shared" si="114"/>
        <v>0</v>
      </c>
      <c r="T338" s="298">
        <f ca="1" t="shared" si="115"/>
        <v>-25000</v>
      </c>
      <c r="U338" s="313" t="s">
        <v>72</v>
      </c>
    </row>
    <row r="339" s="162" customFormat="1" ht="25" customHeight="1" spans="1:21">
      <c r="A339" s="278" t="str">
        <f>工程量核对表!A338</f>
        <v>(二)</v>
      </c>
      <c r="B339" s="279" t="str">
        <f>工程量核对表!B338</f>
        <v>长湾供水工程</v>
      </c>
      <c r="C339" s="280" t="str">
        <f>工程量核对表!C338</f>
        <v/>
      </c>
      <c r="D339" s="281"/>
      <c r="E339" s="281"/>
      <c r="F339" s="281"/>
      <c r="G339" s="281"/>
      <c r="H339" s="281"/>
      <c r="I339" s="281"/>
      <c r="J339" s="285"/>
      <c r="K339" s="285"/>
      <c r="L339" s="281">
        <v>13492.53</v>
      </c>
      <c r="M339" s="281"/>
      <c r="N339" s="296"/>
      <c r="O339" s="297"/>
      <c r="P339" s="297"/>
      <c r="Q339" s="310">
        <f ca="1" t="shared" ref="Q339:T339" si="118">SUM(Q340:Q346)</f>
        <v>1119.6022036036</v>
      </c>
      <c r="R339" s="310"/>
      <c r="S339" s="310">
        <f ca="1" t="shared" si="118"/>
        <v>1119.6022036036</v>
      </c>
      <c r="T339" s="310">
        <f ca="1" t="shared" si="118"/>
        <v>-12372.9277963964</v>
      </c>
      <c r="U339" s="311"/>
    </row>
    <row r="340" s="162" customFormat="1" ht="25" customHeight="1" spans="1:21">
      <c r="A340" s="208">
        <f>工程量核对表!A339</f>
        <v>1</v>
      </c>
      <c r="B340" s="282" t="str">
        <f>工程量核对表!B339</f>
        <v>dn90mmPE管购、运、安</v>
      </c>
      <c r="C340" s="210" t="str">
        <f>工程量核对表!C339</f>
        <v>m</v>
      </c>
      <c r="D340" s="283"/>
      <c r="E340" s="283"/>
      <c r="F340" s="283"/>
      <c r="G340" s="283"/>
      <c r="H340" s="283"/>
      <c r="I340" s="283">
        <v>3</v>
      </c>
      <c r="J340" s="284">
        <v>61</v>
      </c>
      <c r="K340" s="284"/>
      <c r="L340" s="283">
        <v>183</v>
      </c>
      <c r="M340" s="283"/>
      <c r="N340" s="298">
        <f ca="1">工程量核对表!F339</f>
        <v>3</v>
      </c>
      <c r="O340" s="213">
        <f>O331</f>
        <v>56.708018018018</v>
      </c>
      <c r="P340" s="213"/>
      <c r="Q340" s="312">
        <f ca="1">N340*O340</f>
        <v>170.124054054054</v>
      </c>
      <c r="R340" s="312"/>
      <c r="S340" s="213">
        <f ca="1" t="shared" ref="S340:S346" si="119">Q340-G340</f>
        <v>170.124054054054</v>
      </c>
      <c r="T340" s="298">
        <f ca="1" t="shared" ref="T340:T346" si="120">Q340-L340</f>
        <v>-12.875945945946</v>
      </c>
      <c r="U340" s="313" t="s">
        <v>60</v>
      </c>
    </row>
    <row r="341" s="162" customFormat="1" ht="25" customHeight="1" spans="1:21">
      <c r="A341" s="208">
        <f>工程量核对表!A340</f>
        <v>2</v>
      </c>
      <c r="B341" s="282" t="str">
        <f>工程量核对表!B340</f>
        <v>dn80mm钢闸阀购、运、安</v>
      </c>
      <c r="C341" s="210" t="str">
        <f>工程量核对表!C340</f>
        <v>个</v>
      </c>
      <c r="D341" s="283"/>
      <c r="E341" s="283"/>
      <c r="F341" s="283"/>
      <c r="G341" s="283"/>
      <c r="H341" s="283"/>
      <c r="I341" s="283">
        <v>1</v>
      </c>
      <c r="J341" s="284">
        <v>710.13</v>
      </c>
      <c r="K341" s="284"/>
      <c r="L341" s="283">
        <v>710.13</v>
      </c>
      <c r="M341" s="283"/>
      <c r="N341" s="298">
        <f ca="1">工程量核对表!F340</f>
        <v>1</v>
      </c>
      <c r="O341" s="213">
        <f>O332</f>
        <v>371.855855855856</v>
      </c>
      <c r="P341" s="213"/>
      <c r="Q341" s="312">
        <f ca="1" t="shared" ref="Q341:Q346" si="121">N341*O341</f>
        <v>371.855855855856</v>
      </c>
      <c r="R341" s="312"/>
      <c r="S341" s="213">
        <f ca="1" t="shared" si="119"/>
        <v>371.855855855856</v>
      </c>
      <c r="T341" s="298">
        <f ca="1" t="shared" si="120"/>
        <v>-338.274144144144</v>
      </c>
      <c r="U341" s="313" t="s">
        <v>60</v>
      </c>
    </row>
    <row r="342" s="162" customFormat="1" ht="25" customHeight="1" spans="1:21">
      <c r="A342" s="208">
        <f>工程量核对表!A341</f>
        <v>3</v>
      </c>
      <c r="B342" s="282" t="str">
        <f>工程量核对表!B341</f>
        <v>dn63mmPE管购、运、安</v>
      </c>
      <c r="C342" s="210" t="str">
        <f>工程量核对表!C341</f>
        <v>m</v>
      </c>
      <c r="D342" s="283"/>
      <c r="E342" s="283"/>
      <c r="F342" s="283"/>
      <c r="G342" s="283"/>
      <c r="H342" s="283"/>
      <c r="I342" s="283">
        <v>2</v>
      </c>
      <c r="J342" s="284">
        <v>30.6</v>
      </c>
      <c r="K342" s="284"/>
      <c r="L342" s="283">
        <v>61.2</v>
      </c>
      <c r="M342" s="283"/>
      <c r="N342" s="298">
        <f ca="1">工程量核对表!F341</f>
        <v>2</v>
      </c>
      <c r="O342" s="213">
        <f>O333</f>
        <v>26.6527684684685</v>
      </c>
      <c r="P342" s="213"/>
      <c r="Q342" s="312">
        <f ca="1" t="shared" si="121"/>
        <v>53.305536936937</v>
      </c>
      <c r="R342" s="312"/>
      <c r="S342" s="213">
        <f ca="1" t="shared" si="119"/>
        <v>53.305536936937</v>
      </c>
      <c r="T342" s="298">
        <f ca="1" t="shared" si="120"/>
        <v>-7.894463063063</v>
      </c>
      <c r="U342" s="313" t="s">
        <v>45</v>
      </c>
    </row>
    <row r="343" s="162" customFormat="1" ht="25" customHeight="1" spans="1:21">
      <c r="A343" s="208">
        <f>工程量核对表!A342</f>
        <v>4</v>
      </c>
      <c r="B343" s="282" t="str">
        <f>工程量核对表!B342</f>
        <v>dn63mm闸阀购、运、安</v>
      </c>
      <c r="C343" s="210" t="str">
        <f>工程量核对表!C342</f>
        <v>个</v>
      </c>
      <c r="D343" s="283"/>
      <c r="E343" s="283"/>
      <c r="F343" s="283"/>
      <c r="G343" s="283"/>
      <c r="H343" s="283"/>
      <c r="I343" s="283">
        <v>2</v>
      </c>
      <c r="J343" s="284">
        <v>82</v>
      </c>
      <c r="K343" s="284"/>
      <c r="L343" s="283">
        <v>164</v>
      </c>
      <c r="M343" s="283"/>
      <c r="N343" s="298">
        <f ca="1">工程量核对表!F342</f>
        <v>2</v>
      </c>
      <c r="O343" s="213">
        <f>O334</f>
        <v>76.2304504504504</v>
      </c>
      <c r="P343" s="213"/>
      <c r="Q343" s="312">
        <f ca="1" t="shared" si="121"/>
        <v>152.460900900901</v>
      </c>
      <c r="R343" s="312"/>
      <c r="S343" s="213">
        <f ca="1" t="shared" si="119"/>
        <v>152.460900900901</v>
      </c>
      <c r="T343" s="298">
        <f ca="1" t="shared" si="120"/>
        <v>-11.5390990990992</v>
      </c>
      <c r="U343" s="313" t="s">
        <v>60</v>
      </c>
    </row>
    <row r="344" s="162" customFormat="1" ht="25" customHeight="1" spans="1:21">
      <c r="A344" s="208">
        <f>工程量核对表!A343</f>
        <v>5</v>
      </c>
      <c r="B344" s="282" t="str">
        <f>工程量核对表!B343</f>
        <v>杀毒器购、运、安</v>
      </c>
      <c r="C344" s="210" t="str">
        <f>工程量核对表!C343</f>
        <v>个</v>
      </c>
      <c r="D344" s="283"/>
      <c r="E344" s="283"/>
      <c r="F344" s="283"/>
      <c r="G344" s="283"/>
      <c r="H344" s="283"/>
      <c r="I344" s="283">
        <v>1</v>
      </c>
      <c r="J344" s="284">
        <v>8000</v>
      </c>
      <c r="K344" s="284"/>
      <c r="L344" s="283">
        <v>8000</v>
      </c>
      <c r="M344" s="283"/>
      <c r="N344" s="298">
        <f ca="1">工程量核对表!F343</f>
        <v>0</v>
      </c>
      <c r="O344" s="213">
        <f>J344/1.11*1.0319</f>
        <v>7437.11711711712</v>
      </c>
      <c r="P344" s="213"/>
      <c r="Q344" s="312">
        <f ca="1" t="shared" si="121"/>
        <v>0</v>
      </c>
      <c r="R344" s="312"/>
      <c r="S344" s="213">
        <f ca="1" t="shared" si="119"/>
        <v>0</v>
      </c>
      <c r="T344" s="298">
        <f ca="1" t="shared" si="120"/>
        <v>-8000</v>
      </c>
      <c r="U344" s="313" t="s">
        <v>72</v>
      </c>
    </row>
    <row r="345" s="162" customFormat="1" ht="25" customHeight="1" spans="1:21">
      <c r="A345" s="208">
        <f>工程量核对表!A344</f>
        <v>6</v>
      </c>
      <c r="B345" s="282" t="str">
        <f>工程量核对表!B344</f>
        <v>220V低压供电线路</v>
      </c>
      <c r="C345" s="210" t="str">
        <f>工程量核对表!C344</f>
        <v>km</v>
      </c>
      <c r="D345" s="283"/>
      <c r="E345" s="283"/>
      <c r="F345" s="283"/>
      <c r="G345" s="283"/>
      <c r="H345" s="283"/>
      <c r="I345" s="283">
        <v>0.1</v>
      </c>
      <c r="J345" s="284">
        <v>39742</v>
      </c>
      <c r="K345" s="284"/>
      <c r="L345" s="283">
        <v>3974.2</v>
      </c>
      <c r="M345" s="283"/>
      <c r="N345" s="298">
        <f ca="1">工程量核对表!F344</f>
        <v>0</v>
      </c>
      <c r="O345" s="213">
        <f>J345/1.11*1.0319</f>
        <v>36945.7385585586</v>
      </c>
      <c r="P345" s="213"/>
      <c r="Q345" s="312">
        <f ca="1" t="shared" si="121"/>
        <v>0</v>
      </c>
      <c r="R345" s="312"/>
      <c r="S345" s="213">
        <f ca="1" t="shared" si="119"/>
        <v>0</v>
      </c>
      <c r="T345" s="298">
        <f ca="1" t="shared" si="120"/>
        <v>-3974.2</v>
      </c>
      <c r="U345" s="313" t="s">
        <v>72</v>
      </c>
    </row>
    <row r="346" s="162" customFormat="1" ht="25" customHeight="1" spans="1:21">
      <c r="A346" s="208">
        <f>工程量核对表!A345</f>
        <v>7</v>
      </c>
      <c r="B346" s="282" t="str">
        <f>工程量核对表!B345</f>
        <v>浮球阀</v>
      </c>
      <c r="C346" s="210" t="str">
        <f>工程量核对表!C345</f>
        <v>个</v>
      </c>
      <c r="D346" s="283"/>
      <c r="E346" s="283"/>
      <c r="F346" s="283"/>
      <c r="G346" s="283"/>
      <c r="H346" s="283"/>
      <c r="I346" s="283">
        <v>1</v>
      </c>
      <c r="J346" s="284">
        <v>400</v>
      </c>
      <c r="K346" s="284"/>
      <c r="L346" s="283">
        <v>400</v>
      </c>
      <c r="M346" s="283"/>
      <c r="N346" s="298">
        <f ca="1">工程量核对表!F345</f>
        <v>1</v>
      </c>
      <c r="O346" s="213">
        <f>O337</f>
        <v>371.855855855856</v>
      </c>
      <c r="P346" s="213"/>
      <c r="Q346" s="312">
        <f ca="1" t="shared" si="121"/>
        <v>371.855855855856</v>
      </c>
      <c r="R346" s="312"/>
      <c r="S346" s="213">
        <f ca="1" t="shared" si="119"/>
        <v>371.855855855856</v>
      </c>
      <c r="T346" s="298">
        <f ca="1" t="shared" si="120"/>
        <v>-28.144144144144</v>
      </c>
      <c r="U346" s="313" t="s">
        <v>60</v>
      </c>
    </row>
    <row r="347" s="162" customFormat="1" ht="25" customHeight="1" spans="1:21">
      <c r="A347" s="278" t="str">
        <f>工程量核对表!A346</f>
        <v>(三)</v>
      </c>
      <c r="B347" s="279" t="str">
        <f>工程量核对表!B346</f>
        <v>刘家湾供水工程</v>
      </c>
      <c r="C347" s="280">
        <f>工程量核对表!C346</f>
        <v>0</v>
      </c>
      <c r="D347" s="281"/>
      <c r="E347" s="281"/>
      <c r="F347" s="281"/>
      <c r="G347" s="281"/>
      <c r="H347" s="281"/>
      <c r="I347" s="281"/>
      <c r="J347" s="285"/>
      <c r="K347" s="285"/>
      <c r="L347" s="281">
        <v>15479.63</v>
      </c>
      <c r="M347" s="281"/>
      <c r="N347" s="296"/>
      <c r="O347" s="297"/>
      <c r="P347" s="297"/>
      <c r="Q347" s="310">
        <f ca="1" t="shared" ref="Q347:T347" si="122">SUM(Q348:Q354)</f>
        <v>1119.6022036036</v>
      </c>
      <c r="R347" s="310"/>
      <c r="S347" s="310">
        <f ca="1" t="shared" si="122"/>
        <v>1119.6022036036</v>
      </c>
      <c r="T347" s="310">
        <f ca="1" t="shared" si="122"/>
        <v>-14360.0277963964</v>
      </c>
      <c r="U347" s="311"/>
    </row>
    <row r="348" s="162" customFormat="1" ht="25" customHeight="1" spans="1:21">
      <c r="A348" s="208">
        <f>工程量核对表!A347</f>
        <v>1</v>
      </c>
      <c r="B348" s="282" t="str">
        <f>工程量核对表!B347</f>
        <v>dn90mmPE管</v>
      </c>
      <c r="C348" s="210" t="str">
        <f>工程量核对表!C347</f>
        <v>m</v>
      </c>
      <c r="D348" s="283"/>
      <c r="E348" s="283"/>
      <c r="F348" s="283"/>
      <c r="G348" s="283"/>
      <c r="H348" s="283"/>
      <c r="I348" s="283">
        <v>3</v>
      </c>
      <c r="J348" s="284">
        <v>61</v>
      </c>
      <c r="K348" s="284"/>
      <c r="L348" s="283">
        <v>183</v>
      </c>
      <c r="M348" s="283"/>
      <c r="N348" s="298">
        <f ca="1">工程量核对表!F347</f>
        <v>3</v>
      </c>
      <c r="O348" s="213">
        <f>O331</f>
        <v>56.708018018018</v>
      </c>
      <c r="P348" s="213"/>
      <c r="Q348" s="312">
        <f ca="1">N348*O348</f>
        <v>170.124054054054</v>
      </c>
      <c r="R348" s="312"/>
      <c r="S348" s="213">
        <f ca="1" t="shared" ref="S348:S354" si="123">Q348-G348</f>
        <v>170.124054054054</v>
      </c>
      <c r="T348" s="298">
        <f ca="1" t="shared" ref="T348:T354" si="124">Q348-L348</f>
        <v>-12.875945945946</v>
      </c>
      <c r="U348" s="313" t="s">
        <v>60</v>
      </c>
    </row>
    <row r="349" s="162" customFormat="1" ht="25" customHeight="1" spans="1:21">
      <c r="A349" s="208">
        <f>工程量核对表!A348</f>
        <v>2</v>
      </c>
      <c r="B349" s="282" t="str">
        <f>工程量核对表!B348</f>
        <v>dn80mm闸阀</v>
      </c>
      <c r="C349" s="210" t="str">
        <f>工程量核对表!C348</f>
        <v>个</v>
      </c>
      <c r="D349" s="283"/>
      <c r="E349" s="283"/>
      <c r="F349" s="283"/>
      <c r="G349" s="283"/>
      <c r="H349" s="283"/>
      <c r="I349" s="283">
        <v>1</v>
      </c>
      <c r="J349" s="284">
        <v>710.13</v>
      </c>
      <c r="K349" s="284"/>
      <c r="L349" s="283">
        <v>710.13</v>
      </c>
      <c r="M349" s="283"/>
      <c r="N349" s="298">
        <f ca="1">工程量核对表!F348</f>
        <v>1</v>
      </c>
      <c r="O349" s="213">
        <f>O332</f>
        <v>371.855855855856</v>
      </c>
      <c r="P349" s="213"/>
      <c r="Q349" s="312">
        <f ca="1" t="shared" ref="Q349:Q354" si="125">N349*O349</f>
        <v>371.855855855856</v>
      </c>
      <c r="R349" s="312"/>
      <c r="S349" s="213">
        <f ca="1" t="shared" si="123"/>
        <v>371.855855855856</v>
      </c>
      <c r="T349" s="298">
        <f ca="1" t="shared" si="124"/>
        <v>-338.274144144144</v>
      </c>
      <c r="U349" s="313" t="s">
        <v>60</v>
      </c>
    </row>
    <row r="350" s="162" customFormat="1" ht="25" customHeight="1" spans="1:21">
      <c r="A350" s="208">
        <f>工程量核对表!A349</f>
        <v>3</v>
      </c>
      <c r="B350" s="282" t="str">
        <f>工程量核对表!B349</f>
        <v>dn63mmPE管购、运、安</v>
      </c>
      <c r="C350" s="210" t="str">
        <f>工程量核对表!C349</f>
        <v>m</v>
      </c>
      <c r="D350" s="283"/>
      <c r="E350" s="283"/>
      <c r="F350" s="283"/>
      <c r="G350" s="283"/>
      <c r="H350" s="283"/>
      <c r="I350" s="283">
        <v>2</v>
      </c>
      <c r="J350" s="284">
        <v>30.6</v>
      </c>
      <c r="K350" s="284"/>
      <c r="L350" s="283">
        <v>61.2</v>
      </c>
      <c r="M350" s="283"/>
      <c r="N350" s="298">
        <f ca="1">工程量核对表!F349</f>
        <v>2</v>
      </c>
      <c r="O350" s="213">
        <f>O333</f>
        <v>26.6527684684685</v>
      </c>
      <c r="P350" s="213"/>
      <c r="Q350" s="312">
        <f ca="1" t="shared" si="125"/>
        <v>53.305536936937</v>
      </c>
      <c r="R350" s="312"/>
      <c r="S350" s="213">
        <f ca="1" t="shared" si="123"/>
        <v>53.305536936937</v>
      </c>
      <c r="T350" s="298">
        <f ca="1" t="shared" si="124"/>
        <v>-7.894463063063</v>
      </c>
      <c r="U350" s="313" t="s">
        <v>45</v>
      </c>
    </row>
    <row r="351" s="162" customFormat="1" ht="25" customHeight="1" spans="1:21">
      <c r="A351" s="208">
        <f>工程量核对表!A350</f>
        <v>4</v>
      </c>
      <c r="B351" s="282" t="str">
        <f>工程量核对表!B350</f>
        <v>dn63mm闸阀购、运、安</v>
      </c>
      <c r="C351" s="210" t="str">
        <f>工程量核对表!C350</f>
        <v>个</v>
      </c>
      <c r="D351" s="283"/>
      <c r="E351" s="283"/>
      <c r="F351" s="283"/>
      <c r="G351" s="283"/>
      <c r="H351" s="283"/>
      <c r="I351" s="283">
        <v>2</v>
      </c>
      <c r="J351" s="284">
        <v>82</v>
      </c>
      <c r="K351" s="284"/>
      <c r="L351" s="283">
        <v>164</v>
      </c>
      <c r="M351" s="283"/>
      <c r="N351" s="298">
        <f ca="1">工程量核对表!F350</f>
        <v>2</v>
      </c>
      <c r="O351" s="213">
        <f>O334</f>
        <v>76.2304504504504</v>
      </c>
      <c r="P351" s="213"/>
      <c r="Q351" s="312">
        <f ca="1" t="shared" si="125"/>
        <v>152.460900900901</v>
      </c>
      <c r="R351" s="312"/>
      <c r="S351" s="213">
        <f ca="1" t="shared" si="123"/>
        <v>152.460900900901</v>
      </c>
      <c r="T351" s="298">
        <f ca="1" t="shared" si="124"/>
        <v>-11.5390990990992</v>
      </c>
      <c r="U351" s="313" t="s">
        <v>60</v>
      </c>
    </row>
    <row r="352" s="162" customFormat="1" ht="25" customHeight="1" spans="1:21">
      <c r="A352" s="208">
        <f>工程量核对表!A351</f>
        <v>5</v>
      </c>
      <c r="B352" s="282" t="str">
        <f>工程量核对表!B351</f>
        <v>220V低压供电线路</v>
      </c>
      <c r="C352" s="210" t="str">
        <f>工程量核对表!C351</f>
        <v>km</v>
      </c>
      <c r="D352" s="283"/>
      <c r="E352" s="283"/>
      <c r="F352" s="283"/>
      <c r="G352" s="283"/>
      <c r="H352" s="283"/>
      <c r="I352" s="283">
        <v>0.15</v>
      </c>
      <c r="J352" s="284">
        <v>39742</v>
      </c>
      <c r="K352" s="284"/>
      <c r="L352" s="283">
        <v>5961.3</v>
      </c>
      <c r="M352" s="283"/>
      <c r="N352" s="298">
        <f ca="1">工程量核对表!F351</f>
        <v>0</v>
      </c>
      <c r="O352" s="213">
        <f>J352/1.11*1.0319</f>
        <v>36945.7385585586</v>
      </c>
      <c r="P352" s="213"/>
      <c r="Q352" s="312">
        <f ca="1" t="shared" si="125"/>
        <v>0</v>
      </c>
      <c r="R352" s="312"/>
      <c r="S352" s="213">
        <f ca="1" t="shared" si="123"/>
        <v>0</v>
      </c>
      <c r="T352" s="298">
        <f ca="1" t="shared" si="124"/>
        <v>-5961.3</v>
      </c>
      <c r="U352" s="313" t="s">
        <v>72</v>
      </c>
    </row>
    <row r="353" s="162" customFormat="1" ht="25" customHeight="1" spans="1:21">
      <c r="A353" s="208">
        <f>工程量核对表!A352</f>
        <v>6</v>
      </c>
      <c r="B353" s="282" t="str">
        <f>工程量核对表!B352</f>
        <v>浮球阀</v>
      </c>
      <c r="C353" s="210" t="str">
        <f>工程量核对表!C352</f>
        <v>个</v>
      </c>
      <c r="D353" s="283"/>
      <c r="E353" s="283"/>
      <c r="F353" s="283"/>
      <c r="G353" s="283"/>
      <c r="H353" s="283"/>
      <c r="I353" s="283">
        <v>1</v>
      </c>
      <c r="J353" s="284">
        <v>400</v>
      </c>
      <c r="K353" s="284"/>
      <c r="L353" s="283">
        <v>400</v>
      </c>
      <c r="M353" s="283"/>
      <c r="N353" s="298">
        <f ca="1">工程量核对表!F352</f>
        <v>1</v>
      </c>
      <c r="O353" s="213">
        <f>O337</f>
        <v>371.855855855856</v>
      </c>
      <c r="P353" s="213"/>
      <c r="Q353" s="312">
        <f ca="1" t="shared" si="125"/>
        <v>371.855855855856</v>
      </c>
      <c r="R353" s="312"/>
      <c r="S353" s="213">
        <f ca="1" t="shared" si="123"/>
        <v>371.855855855856</v>
      </c>
      <c r="T353" s="298">
        <f ca="1" t="shared" si="124"/>
        <v>-28.144144144144</v>
      </c>
      <c r="U353" s="313" t="s">
        <v>60</v>
      </c>
    </row>
    <row r="354" s="162" customFormat="1" ht="25" customHeight="1" spans="1:21">
      <c r="A354" s="208">
        <f>工程量核对表!A353</f>
        <v>7</v>
      </c>
      <c r="B354" s="282" t="str">
        <f>工程量核对表!B353</f>
        <v>杀毒器购、运、安</v>
      </c>
      <c r="C354" s="210" t="str">
        <f>工程量核对表!C353</f>
        <v>个</v>
      </c>
      <c r="D354" s="283"/>
      <c r="E354" s="283"/>
      <c r="F354" s="283"/>
      <c r="G354" s="283"/>
      <c r="H354" s="283"/>
      <c r="I354" s="283">
        <v>1</v>
      </c>
      <c r="J354" s="284">
        <v>8000</v>
      </c>
      <c r="K354" s="284"/>
      <c r="L354" s="283">
        <v>8000</v>
      </c>
      <c r="M354" s="283"/>
      <c r="N354" s="298">
        <f ca="1">工程量核对表!F353</f>
        <v>0</v>
      </c>
      <c r="O354" s="213">
        <f>J354/1.11*1.0319</f>
        <v>7437.11711711712</v>
      </c>
      <c r="P354" s="213"/>
      <c r="Q354" s="312">
        <f ca="1" t="shared" si="125"/>
        <v>0</v>
      </c>
      <c r="R354" s="312"/>
      <c r="S354" s="213">
        <f ca="1" t="shared" si="123"/>
        <v>0</v>
      </c>
      <c r="T354" s="298">
        <f ca="1" t="shared" si="124"/>
        <v>-8000</v>
      </c>
      <c r="U354" s="313" t="s">
        <v>72</v>
      </c>
    </row>
    <row r="355" s="162" customFormat="1" ht="25" customHeight="1" spans="1:21">
      <c r="A355" s="278" t="str">
        <f>工程量核对表!A354</f>
        <v>(四)</v>
      </c>
      <c r="B355" s="279" t="str">
        <f>工程量核对表!B354</f>
        <v>张家梁供水工程</v>
      </c>
      <c r="C355" s="280" t="str">
        <f>工程量核对表!C354</f>
        <v/>
      </c>
      <c r="D355" s="281"/>
      <c r="E355" s="281"/>
      <c r="F355" s="281"/>
      <c r="G355" s="281"/>
      <c r="H355" s="281"/>
      <c r="I355" s="281"/>
      <c r="J355" s="285"/>
      <c r="K355" s="285"/>
      <c r="L355" s="281">
        <v>15479.63</v>
      </c>
      <c r="M355" s="281"/>
      <c r="N355" s="296"/>
      <c r="O355" s="297"/>
      <c r="P355" s="297"/>
      <c r="Q355" s="310">
        <f ca="1" t="shared" ref="Q355:T355" si="126">SUM(Q356:Q362)</f>
        <v>1119.6022036036</v>
      </c>
      <c r="R355" s="310"/>
      <c r="S355" s="310">
        <f ca="1" t="shared" si="126"/>
        <v>1119.6022036036</v>
      </c>
      <c r="T355" s="310">
        <f ca="1" t="shared" si="126"/>
        <v>-14360.0277963964</v>
      </c>
      <c r="U355" s="311"/>
    </row>
    <row r="356" s="162" customFormat="1" ht="25" customHeight="1" spans="1:21">
      <c r="A356" s="208">
        <f>工程量核对表!A355</f>
        <v>1</v>
      </c>
      <c r="B356" s="282" t="str">
        <f>工程量核对表!B355</f>
        <v>dn90mmPE管</v>
      </c>
      <c r="C356" s="210" t="str">
        <f>工程量核对表!C355</f>
        <v>m</v>
      </c>
      <c r="D356" s="283"/>
      <c r="E356" s="283"/>
      <c r="F356" s="283"/>
      <c r="G356" s="283"/>
      <c r="H356" s="283"/>
      <c r="I356" s="283">
        <v>3</v>
      </c>
      <c r="J356" s="284">
        <v>61</v>
      </c>
      <c r="K356" s="284"/>
      <c r="L356" s="283">
        <v>183</v>
      </c>
      <c r="M356" s="283"/>
      <c r="N356" s="298">
        <f ca="1">工程量核对表!F355</f>
        <v>3</v>
      </c>
      <c r="O356" s="213">
        <f>O331</f>
        <v>56.708018018018</v>
      </c>
      <c r="P356" s="213"/>
      <c r="Q356" s="312">
        <f ca="1">N356*O356</f>
        <v>170.124054054054</v>
      </c>
      <c r="R356" s="312"/>
      <c r="S356" s="213">
        <f ca="1">Q356-G356</f>
        <v>170.124054054054</v>
      </c>
      <c r="T356" s="298">
        <f ca="1">Q356-L356</f>
        <v>-12.875945945946</v>
      </c>
      <c r="U356" s="313" t="s">
        <v>60</v>
      </c>
    </row>
    <row r="357" s="162" customFormat="1" ht="25" customHeight="1" spans="1:21">
      <c r="A357" s="208">
        <f>工程量核对表!A356</f>
        <v>2</v>
      </c>
      <c r="B357" s="282" t="str">
        <f>工程量核对表!B356</f>
        <v>dn80mm闸阀</v>
      </c>
      <c r="C357" s="210" t="str">
        <f>工程量核对表!C356</f>
        <v>个</v>
      </c>
      <c r="D357" s="283"/>
      <c r="E357" s="283"/>
      <c r="F357" s="283"/>
      <c r="G357" s="283"/>
      <c r="H357" s="283"/>
      <c r="I357" s="283">
        <v>1</v>
      </c>
      <c r="J357" s="284">
        <v>710.13</v>
      </c>
      <c r="K357" s="284"/>
      <c r="L357" s="283">
        <v>710.13</v>
      </c>
      <c r="M357" s="283"/>
      <c r="N357" s="298">
        <f ca="1">工程量核对表!F356</f>
        <v>1</v>
      </c>
      <c r="O357" s="213">
        <f>O332</f>
        <v>371.855855855856</v>
      </c>
      <c r="P357" s="213"/>
      <c r="Q357" s="312">
        <f ca="1" t="shared" ref="Q357:Q362" si="127">N357*O357</f>
        <v>371.855855855856</v>
      </c>
      <c r="R357" s="312"/>
      <c r="S357" s="213">
        <f ca="1" t="shared" ref="S357:S362" si="128">Q357-G357</f>
        <v>371.855855855856</v>
      </c>
      <c r="T357" s="298">
        <f ca="1" t="shared" ref="T357:T362" si="129">Q357-L357</f>
        <v>-338.274144144144</v>
      </c>
      <c r="U357" s="313" t="s">
        <v>60</v>
      </c>
    </row>
    <row r="358" s="162" customFormat="1" ht="25" customHeight="1" spans="1:21">
      <c r="A358" s="208">
        <f>工程量核对表!A357</f>
        <v>3</v>
      </c>
      <c r="B358" s="282" t="str">
        <f>工程量核对表!B357</f>
        <v>dn63mmPE管购、运、安</v>
      </c>
      <c r="C358" s="210" t="str">
        <f>工程量核对表!C357</f>
        <v>m</v>
      </c>
      <c r="D358" s="283"/>
      <c r="E358" s="283"/>
      <c r="F358" s="283"/>
      <c r="G358" s="283"/>
      <c r="H358" s="283"/>
      <c r="I358" s="283">
        <v>2</v>
      </c>
      <c r="J358" s="284">
        <v>30.6</v>
      </c>
      <c r="K358" s="284"/>
      <c r="L358" s="283">
        <v>61.2</v>
      </c>
      <c r="M358" s="283"/>
      <c r="N358" s="298">
        <f ca="1">工程量核对表!F357</f>
        <v>2</v>
      </c>
      <c r="O358" s="213">
        <f>O333</f>
        <v>26.6527684684685</v>
      </c>
      <c r="P358" s="213"/>
      <c r="Q358" s="312">
        <f ca="1" t="shared" si="127"/>
        <v>53.305536936937</v>
      </c>
      <c r="R358" s="312"/>
      <c r="S358" s="213">
        <f ca="1" t="shared" si="128"/>
        <v>53.305536936937</v>
      </c>
      <c r="T358" s="298">
        <f ca="1" t="shared" si="129"/>
        <v>-7.894463063063</v>
      </c>
      <c r="U358" s="313" t="s">
        <v>45</v>
      </c>
    </row>
    <row r="359" s="162" customFormat="1" ht="25" customHeight="1" spans="1:21">
      <c r="A359" s="208">
        <f>工程量核对表!A358</f>
        <v>4</v>
      </c>
      <c r="B359" s="282" t="str">
        <f>工程量核对表!B358</f>
        <v>dn63mm闸阀购、运、安</v>
      </c>
      <c r="C359" s="210" t="str">
        <f>工程量核对表!C358</f>
        <v>个</v>
      </c>
      <c r="D359" s="283"/>
      <c r="E359" s="283"/>
      <c r="F359" s="283"/>
      <c r="G359" s="283"/>
      <c r="H359" s="283"/>
      <c r="I359" s="283">
        <v>2</v>
      </c>
      <c r="J359" s="284">
        <v>82</v>
      </c>
      <c r="K359" s="284"/>
      <c r="L359" s="283">
        <v>164</v>
      </c>
      <c r="M359" s="283"/>
      <c r="N359" s="298">
        <f ca="1">工程量核对表!F358</f>
        <v>2</v>
      </c>
      <c r="O359" s="213">
        <f>O334</f>
        <v>76.2304504504504</v>
      </c>
      <c r="P359" s="213"/>
      <c r="Q359" s="312">
        <f ca="1" t="shared" si="127"/>
        <v>152.460900900901</v>
      </c>
      <c r="R359" s="312"/>
      <c r="S359" s="213">
        <f ca="1" t="shared" si="128"/>
        <v>152.460900900901</v>
      </c>
      <c r="T359" s="298">
        <f ca="1" t="shared" si="129"/>
        <v>-11.5390990990992</v>
      </c>
      <c r="U359" s="313" t="s">
        <v>60</v>
      </c>
    </row>
    <row r="360" s="162" customFormat="1" ht="25" customHeight="1" spans="1:21">
      <c r="A360" s="208">
        <f>工程量核对表!A359</f>
        <v>5</v>
      </c>
      <c r="B360" s="282" t="str">
        <f>工程量核对表!B359</f>
        <v>220V低压供电线路</v>
      </c>
      <c r="C360" s="210" t="str">
        <f>工程量核对表!C359</f>
        <v>km</v>
      </c>
      <c r="D360" s="283"/>
      <c r="E360" s="283"/>
      <c r="F360" s="283"/>
      <c r="G360" s="283"/>
      <c r="H360" s="283"/>
      <c r="I360" s="283">
        <v>0.15</v>
      </c>
      <c r="J360" s="284">
        <v>39742</v>
      </c>
      <c r="K360" s="284"/>
      <c r="L360" s="283">
        <v>5961.3</v>
      </c>
      <c r="M360" s="283"/>
      <c r="N360" s="298">
        <f ca="1">工程量核对表!F359</f>
        <v>0</v>
      </c>
      <c r="O360" s="213">
        <f>J360/1.11*1.0319</f>
        <v>36945.7385585586</v>
      </c>
      <c r="P360" s="213"/>
      <c r="Q360" s="312">
        <f ca="1" t="shared" si="127"/>
        <v>0</v>
      </c>
      <c r="R360" s="312"/>
      <c r="S360" s="213">
        <f ca="1" t="shared" si="128"/>
        <v>0</v>
      </c>
      <c r="T360" s="298">
        <f ca="1" t="shared" si="129"/>
        <v>-5961.3</v>
      </c>
      <c r="U360" s="313" t="s">
        <v>72</v>
      </c>
    </row>
    <row r="361" s="162" customFormat="1" ht="25" customHeight="1" spans="1:21">
      <c r="A361" s="208">
        <f>工程量核对表!A360</f>
        <v>6</v>
      </c>
      <c r="B361" s="282" t="str">
        <f>工程量核对表!B360</f>
        <v>浮球阀</v>
      </c>
      <c r="C361" s="210" t="str">
        <f>工程量核对表!C360</f>
        <v>个</v>
      </c>
      <c r="D361" s="283"/>
      <c r="E361" s="283"/>
      <c r="F361" s="283"/>
      <c r="G361" s="283"/>
      <c r="H361" s="283"/>
      <c r="I361" s="283">
        <v>1</v>
      </c>
      <c r="J361" s="284">
        <v>400</v>
      </c>
      <c r="K361" s="284"/>
      <c r="L361" s="283">
        <v>400</v>
      </c>
      <c r="M361" s="283"/>
      <c r="N361" s="298">
        <f ca="1">工程量核对表!F360</f>
        <v>1</v>
      </c>
      <c r="O361" s="213">
        <f>O337</f>
        <v>371.855855855856</v>
      </c>
      <c r="P361" s="213"/>
      <c r="Q361" s="312">
        <f ca="1" t="shared" si="127"/>
        <v>371.855855855856</v>
      </c>
      <c r="R361" s="312"/>
      <c r="S361" s="213">
        <f ca="1" t="shared" si="128"/>
        <v>371.855855855856</v>
      </c>
      <c r="T361" s="298">
        <f ca="1" t="shared" si="129"/>
        <v>-28.144144144144</v>
      </c>
      <c r="U361" s="313" t="s">
        <v>60</v>
      </c>
    </row>
    <row r="362" s="162" customFormat="1" ht="25" customHeight="1" spans="1:21">
      <c r="A362" s="208">
        <f>工程量核对表!A361</f>
        <v>7</v>
      </c>
      <c r="B362" s="282" t="str">
        <f>工程量核对表!B361</f>
        <v>杀毒器购、运、安</v>
      </c>
      <c r="C362" s="210" t="str">
        <f>工程量核对表!C361</f>
        <v>个</v>
      </c>
      <c r="D362" s="283"/>
      <c r="E362" s="283"/>
      <c r="F362" s="283"/>
      <c r="G362" s="283"/>
      <c r="H362" s="283"/>
      <c r="I362" s="283">
        <v>1</v>
      </c>
      <c r="J362" s="284">
        <v>8000</v>
      </c>
      <c r="K362" s="284"/>
      <c r="L362" s="283">
        <v>8000</v>
      </c>
      <c r="M362" s="283"/>
      <c r="N362" s="298">
        <f ca="1">工程量核对表!F361</f>
        <v>0</v>
      </c>
      <c r="O362" s="213">
        <f>J362/1.11*1.0319</f>
        <v>7437.11711711712</v>
      </c>
      <c r="P362" s="213"/>
      <c r="Q362" s="312">
        <f ca="1" t="shared" si="127"/>
        <v>0</v>
      </c>
      <c r="R362" s="312"/>
      <c r="S362" s="213">
        <f ca="1" t="shared" si="128"/>
        <v>0</v>
      </c>
      <c r="T362" s="298">
        <f ca="1" t="shared" si="129"/>
        <v>-8000</v>
      </c>
      <c r="U362" s="313" t="s">
        <v>72</v>
      </c>
    </row>
    <row r="363" s="162" customFormat="1" ht="25" customHeight="1" spans="1:21">
      <c r="A363" s="278" t="str">
        <f>工程量核对表!A362</f>
        <v>(五)</v>
      </c>
      <c r="B363" s="279" t="str">
        <f>工程量核对表!B362</f>
        <v>李家山供水工程</v>
      </c>
      <c r="C363" s="280" t="str">
        <f>工程量核对表!C362</f>
        <v/>
      </c>
      <c r="D363" s="281"/>
      <c r="E363" s="281"/>
      <c r="F363" s="281"/>
      <c r="G363" s="281"/>
      <c r="H363" s="281"/>
      <c r="I363" s="281"/>
      <c r="J363" s="285"/>
      <c r="K363" s="285"/>
      <c r="L363" s="281">
        <v>15479.63</v>
      </c>
      <c r="M363" s="281"/>
      <c r="N363" s="296"/>
      <c r="O363" s="297"/>
      <c r="P363" s="297"/>
      <c r="Q363" s="310">
        <f ca="1" t="shared" ref="Q363:T363" si="130">SUM(Q364:Q370)</f>
        <v>1119.6022036036</v>
      </c>
      <c r="R363" s="310"/>
      <c r="S363" s="310">
        <f ca="1" t="shared" si="130"/>
        <v>1119.6022036036</v>
      </c>
      <c r="T363" s="310">
        <f ca="1" t="shared" si="130"/>
        <v>-14360.0277963964</v>
      </c>
      <c r="U363" s="311"/>
    </row>
    <row r="364" s="162" customFormat="1" ht="25" customHeight="1" spans="1:21">
      <c r="A364" s="208">
        <f>工程量核对表!A363</f>
        <v>1</v>
      </c>
      <c r="B364" s="282" t="str">
        <f>工程量核对表!B363</f>
        <v>dn90mmPE管</v>
      </c>
      <c r="C364" s="210" t="str">
        <f>工程量核对表!C363</f>
        <v>m</v>
      </c>
      <c r="D364" s="283"/>
      <c r="E364" s="283"/>
      <c r="F364" s="283"/>
      <c r="G364" s="283"/>
      <c r="H364" s="283"/>
      <c r="I364" s="283">
        <v>3</v>
      </c>
      <c r="J364" s="284">
        <v>61</v>
      </c>
      <c r="K364" s="284"/>
      <c r="L364" s="283">
        <v>183</v>
      </c>
      <c r="M364" s="283"/>
      <c r="N364" s="298">
        <f ca="1">工程量核对表!F363</f>
        <v>3</v>
      </c>
      <c r="O364" s="213">
        <f t="shared" ref="O364:O367" si="131">O331</f>
        <v>56.708018018018</v>
      </c>
      <c r="P364" s="213"/>
      <c r="Q364" s="312">
        <f ca="1">O364*N364</f>
        <v>170.124054054054</v>
      </c>
      <c r="R364" s="312"/>
      <c r="S364" s="213">
        <f ca="1" t="shared" ref="S364:S370" si="132">Q364-G364</f>
        <v>170.124054054054</v>
      </c>
      <c r="T364" s="298">
        <f ca="1" t="shared" ref="T364:T370" si="133">Q364-L364</f>
        <v>-12.875945945946</v>
      </c>
      <c r="U364" s="313" t="s">
        <v>60</v>
      </c>
    </row>
    <row r="365" s="162" customFormat="1" ht="25" customHeight="1" spans="1:21">
      <c r="A365" s="208">
        <f>工程量核对表!A364</f>
        <v>2</v>
      </c>
      <c r="B365" s="282" t="str">
        <f>工程量核对表!B364</f>
        <v>dn80mm闸阀</v>
      </c>
      <c r="C365" s="210" t="str">
        <f>工程量核对表!C364</f>
        <v>个</v>
      </c>
      <c r="D365" s="283"/>
      <c r="E365" s="283"/>
      <c r="F365" s="283"/>
      <c r="G365" s="283"/>
      <c r="H365" s="283"/>
      <c r="I365" s="283">
        <v>1</v>
      </c>
      <c r="J365" s="284">
        <v>710.13</v>
      </c>
      <c r="K365" s="284"/>
      <c r="L365" s="283">
        <v>710.13</v>
      </c>
      <c r="M365" s="283"/>
      <c r="N365" s="298">
        <f ca="1">工程量核对表!F364</f>
        <v>1</v>
      </c>
      <c r="O365" s="213">
        <f t="shared" si="131"/>
        <v>371.855855855856</v>
      </c>
      <c r="P365" s="213"/>
      <c r="Q365" s="312">
        <f ca="1" t="shared" ref="Q365:Q370" si="134">O365*N365</f>
        <v>371.855855855856</v>
      </c>
      <c r="R365" s="312"/>
      <c r="S365" s="213">
        <f ca="1" t="shared" si="132"/>
        <v>371.855855855856</v>
      </c>
      <c r="T365" s="298">
        <f ca="1" t="shared" si="133"/>
        <v>-338.274144144144</v>
      </c>
      <c r="U365" s="313" t="s">
        <v>60</v>
      </c>
    </row>
    <row r="366" s="162" customFormat="1" ht="25" customHeight="1" spans="1:21">
      <c r="A366" s="208">
        <f>工程量核对表!A365</f>
        <v>3</v>
      </c>
      <c r="B366" s="282" t="str">
        <f>工程量核对表!B365</f>
        <v>dn63mmPE管购、运、安</v>
      </c>
      <c r="C366" s="210" t="str">
        <f>工程量核对表!C365</f>
        <v>m</v>
      </c>
      <c r="D366" s="283"/>
      <c r="E366" s="283"/>
      <c r="F366" s="283"/>
      <c r="G366" s="283"/>
      <c r="H366" s="283"/>
      <c r="I366" s="283">
        <v>2</v>
      </c>
      <c r="J366" s="284">
        <v>30.6</v>
      </c>
      <c r="K366" s="284"/>
      <c r="L366" s="283">
        <v>61.2</v>
      </c>
      <c r="M366" s="283"/>
      <c r="N366" s="298">
        <f ca="1">工程量核对表!F365</f>
        <v>2</v>
      </c>
      <c r="O366" s="213">
        <f t="shared" si="131"/>
        <v>26.6527684684685</v>
      </c>
      <c r="P366" s="213"/>
      <c r="Q366" s="312">
        <f ca="1" t="shared" si="134"/>
        <v>53.305536936937</v>
      </c>
      <c r="R366" s="312"/>
      <c r="S366" s="213">
        <f ca="1" t="shared" si="132"/>
        <v>53.305536936937</v>
      </c>
      <c r="T366" s="298">
        <f ca="1" t="shared" si="133"/>
        <v>-7.894463063063</v>
      </c>
      <c r="U366" s="313" t="s">
        <v>45</v>
      </c>
    </row>
    <row r="367" s="162" customFormat="1" ht="25" customHeight="1" spans="1:21">
      <c r="A367" s="208">
        <f>工程量核对表!A366</f>
        <v>4</v>
      </c>
      <c r="B367" s="282" t="str">
        <f>工程量核对表!B366</f>
        <v>dn63mm闸阀购、运、安</v>
      </c>
      <c r="C367" s="210" t="str">
        <f>工程量核对表!C366</f>
        <v>个</v>
      </c>
      <c r="D367" s="283"/>
      <c r="E367" s="283"/>
      <c r="F367" s="283"/>
      <c r="G367" s="283"/>
      <c r="H367" s="283"/>
      <c r="I367" s="283">
        <v>2</v>
      </c>
      <c r="J367" s="284">
        <v>82</v>
      </c>
      <c r="K367" s="284"/>
      <c r="L367" s="283">
        <v>164</v>
      </c>
      <c r="M367" s="283"/>
      <c r="N367" s="298">
        <f ca="1">工程量核对表!F366</f>
        <v>2</v>
      </c>
      <c r="O367" s="213">
        <f t="shared" si="131"/>
        <v>76.2304504504504</v>
      </c>
      <c r="P367" s="213"/>
      <c r="Q367" s="312">
        <f ca="1" t="shared" si="134"/>
        <v>152.460900900901</v>
      </c>
      <c r="R367" s="312"/>
      <c r="S367" s="213">
        <f ca="1" t="shared" si="132"/>
        <v>152.460900900901</v>
      </c>
      <c r="T367" s="298">
        <f ca="1" t="shared" si="133"/>
        <v>-11.5390990990992</v>
      </c>
      <c r="U367" s="313" t="s">
        <v>60</v>
      </c>
    </row>
    <row r="368" s="162" customFormat="1" ht="25" customHeight="1" spans="1:21">
      <c r="A368" s="208">
        <f>工程量核对表!A367</f>
        <v>5</v>
      </c>
      <c r="B368" s="282" t="str">
        <f>工程量核对表!B367</f>
        <v>220V低压供电线路</v>
      </c>
      <c r="C368" s="210" t="str">
        <f>工程量核对表!C367</f>
        <v>km</v>
      </c>
      <c r="D368" s="283"/>
      <c r="E368" s="283"/>
      <c r="F368" s="283"/>
      <c r="G368" s="283"/>
      <c r="H368" s="283"/>
      <c r="I368" s="283">
        <v>0.15</v>
      </c>
      <c r="J368" s="284">
        <v>39742</v>
      </c>
      <c r="K368" s="284"/>
      <c r="L368" s="283">
        <v>5961.3</v>
      </c>
      <c r="M368" s="283"/>
      <c r="N368" s="298">
        <f ca="1">工程量核对表!F367</f>
        <v>0</v>
      </c>
      <c r="O368" s="213">
        <f>J368/1.11*1.0319</f>
        <v>36945.7385585586</v>
      </c>
      <c r="P368" s="213"/>
      <c r="Q368" s="312">
        <f ca="1" t="shared" si="134"/>
        <v>0</v>
      </c>
      <c r="R368" s="312"/>
      <c r="S368" s="213">
        <f ca="1" t="shared" si="132"/>
        <v>0</v>
      </c>
      <c r="T368" s="298">
        <f ca="1" t="shared" si="133"/>
        <v>-5961.3</v>
      </c>
      <c r="U368" s="313" t="s">
        <v>72</v>
      </c>
    </row>
    <row r="369" s="162" customFormat="1" ht="25" customHeight="1" spans="1:21">
      <c r="A369" s="208">
        <f>工程量核对表!A368</f>
        <v>6</v>
      </c>
      <c r="B369" s="282" t="str">
        <f>工程量核对表!B368</f>
        <v>浮球阀</v>
      </c>
      <c r="C369" s="210" t="str">
        <f>工程量核对表!C368</f>
        <v>个</v>
      </c>
      <c r="D369" s="283"/>
      <c r="E369" s="283"/>
      <c r="F369" s="283"/>
      <c r="G369" s="283"/>
      <c r="H369" s="283"/>
      <c r="I369" s="283">
        <v>1</v>
      </c>
      <c r="J369" s="284">
        <v>400</v>
      </c>
      <c r="K369" s="284"/>
      <c r="L369" s="283">
        <v>400</v>
      </c>
      <c r="M369" s="283"/>
      <c r="N369" s="298">
        <f ca="1">工程量核对表!F368</f>
        <v>1</v>
      </c>
      <c r="O369" s="213">
        <f>O337</f>
        <v>371.855855855856</v>
      </c>
      <c r="P369" s="213"/>
      <c r="Q369" s="312">
        <f ca="1" t="shared" si="134"/>
        <v>371.855855855856</v>
      </c>
      <c r="R369" s="312"/>
      <c r="S369" s="213">
        <f ca="1" t="shared" si="132"/>
        <v>371.855855855856</v>
      </c>
      <c r="T369" s="298">
        <f ca="1" t="shared" si="133"/>
        <v>-28.144144144144</v>
      </c>
      <c r="U369" s="313" t="s">
        <v>60</v>
      </c>
    </row>
    <row r="370" s="162" customFormat="1" ht="25" customHeight="1" spans="1:21">
      <c r="A370" s="208">
        <f>工程量核对表!A369</f>
        <v>7</v>
      </c>
      <c r="B370" s="282" t="str">
        <f>工程量核对表!B369</f>
        <v>杀毒器购、运、安</v>
      </c>
      <c r="C370" s="210" t="str">
        <f>工程量核对表!C369</f>
        <v>个</v>
      </c>
      <c r="D370" s="283"/>
      <c r="E370" s="283"/>
      <c r="F370" s="283"/>
      <c r="G370" s="283"/>
      <c r="H370" s="283"/>
      <c r="I370" s="283">
        <v>1</v>
      </c>
      <c r="J370" s="284">
        <v>8000</v>
      </c>
      <c r="K370" s="284"/>
      <c r="L370" s="283">
        <v>8000</v>
      </c>
      <c r="M370" s="283"/>
      <c r="N370" s="298">
        <f ca="1">工程量核对表!F369</f>
        <v>0</v>
      </c>
      <c r="O370" s="213">
        <f>J370/1.11*1.0319</f>
        <v>7437.11711711712</v>
      </c>
      <c r="P370" s="213"/>
      <c r="Q370" s="312">
        <f ca="1" t="shared" si="134"/>
        <v>0</v>
      </c>
      <c r="R370" s="312"/>
      <c r="S370" s="213">
        <f ca="1" t="shared" si="132"/>
        <v>0</v>
      </c>
      <c r="T370" s="298">
        <f ca="1" t="shared" si="133"/>
        <v>-8000</v>
      </c>
      <c r="U370" s="313" t="s">
        <v>72</v>
      </c>
    </row>
    <row r="371" s="162" customFormat="1" ht="25" customHeight="1" spans="1:21">
      <c r="A371" s="278" t="str">
        <f>工程量核对表!A370</f>
        <v>(六)</v>
      </c>
      <c r="B371" s="279" t="str">
        <f>工程量核对表!B370</f>
        <v>陈家河陈文如处供水工程</v>
      </c>
      <c r="C371" s="280" t="str">
        <f>工程量核对表!C370</f>
        <v/>
      </c>
      <c r="D371" s="281"/>
      <c r="E371" s="281"/>
      <c r="F371" s="281"/>
      <c r="G371" s="281"/>
      <c r="H371" s="281"/>
      <c r="I371" s="281"/>
      <c r="J371" s="285"/>
      <c r="K371" s="285"/>
      <c r="L371" s="281">
        <v>347.6</v>
      </c>
      <c r="M371" s="281"/>
      <c r="N371" s="296"/>
      <c r="O371" s="297"/>
      <c r="P371" s="297"/>
      <c r="Q371" s="310">
        <f ca="1">SUM(Q372:Q374)</f>
        <v>312.377511711712</v>
      </c>
      <c r="R371" s="310"/>
      <c r="S371" s="310">
        <f ca="1">SUM(S372:S374)</f>
        <v>312.377511711712</v>
      </c>
      <c r="T371" s="310">
        <f ca="1">SUM(T372:T374)</f>
        <v>-35.2224882882882</v>
      </c>
      <c r="U371" s="311"/>
    </row>
    <row r="372" s="162" customFormat="1" ht="25" customHeight="1" spans="1:21">
      <c r="A372" s="208">
        <f>工程量核对表!A371</f>
        <v>1</v>
      </c>
      <c r="B372" s="282" t="str">
        <f>工程量核对表!B371</f>
        <v>dn63mmPE管</v>
      </c>
      <c r="C372" s="210" t="str">
        <f>工程量核对表!C371</f>
        <v>m</v>
      </c>
      <c r="D372" s="283"/>
      <c r="E372" s="283"/>
      <c r="F372" s="283"/>
      <c r="G372" s="283"/>
      <c r="H372" s="283"/>
      <c r="I372" s="283">
        <v>3</v>
      </c>
      <c r="J372" s="284">
        <v>30.6</v>
      </c>
      <c r="K372" s="284"/>
      <c r="L372" s="283">
        <v>91.8</v>
      </c>
      <c r="M372" s="283"/>
      <c r="N372" s="298">
        <f ca="1">工程量核对表!F371</f>
        <v>3</v>
      </c>
      <c r="O372" s="213">
        <f>O333</f>
        <v>26.6527684684685</v>
      </c>
      <c r="P372" s="213"/>
      <c r="Q372" s="312">
        <f ca="1" t="shared" ref="Q372:Q374" si="135">O372*N372</f>
        <v>79.9583054054055</v>
      </c>
      <c r="R372" s="312"/>
      <c r="S372" s="213">
        <f ca="1" t="shared" ref="S372:S374" si="136">Q372-G372</f>
        <v>79.9583054054055</v>
      </c>
      <c r="T372" s="298">
        <f ca="1" t="shared" ref="T372:T374" si="137">Q372-L372</f>
        <v>-11.8416945945945</v>
      </c>
      <c r="U372" s="313" t="s">
        <v>45</v>
      </c>
    </row>
    <row r="373" s="162" customFormat="1" ht="25" customHeight="1" spans="1:21">
      <c r="A373" s="208">
        <f>工程量核对表!A372</f>
        <v>2</v>
      </c>
      <c r="B373" s="282" t="str">
        <f>工程量核对表!B372</f>
        <v>dn50mm闸阀</v>
      </c>
      <c r="C373" s="210" t="str">
        <f>工程量核对表!C372</f>
        <v>个</v>
      </c>
      <c r="D373" s="283"/>
      <c r="E373" s="283"/>
      <c r="F373" s="283"/>
      <c r="G373" s="283"/>
      <c r="H373" s="283"/>
      <c r="I373" s="283">
        <v>2</v>
      </c>
      <c r="J373" s="284">
        <v>82</v>
      </c>
      <c r="K373" s="284"/>
      <c r="L373" s="283">
        <v>164</v>
      </c>
      <c r="M373" s="283"/>
      <c r="N373" s="298">
        <f ca="1">工程量核对表!F372</f>
        <v>2</v>
      </c>
      <c r="O373" s="213">
        <f>J373/1.11*1.0319</f>
        <v>76.2304504504504</v>
      </c>
      <c r="P373" s="213"/>
      <c r="Q373" s="312">
        <f ca="1" t="shared" si="135"/>
        <v>152.460900900901</v>
      </c>
      <c r="R373" s="312"/>
      <c r="S373" s="213">
        <f ca="1" t="shared" si="136"/>
        <v>152.460900900901</v>
      </c>
      <c r="T373" s="298">
        <f ca="1" t="shared" si="137"/>
        <v>-11.5390990990992</v>
      </c>
      <c r="U373" s="313" t="s">
        <v>73</v>
      </c>
    </row>
    <row r="374" s="162" customFormat="1" ht="25" customHeight="1" spans="1:21">
      <c r="A374" s="208">
        <f>工程量核对表!A373</f>
        <v>3</v>
      </c>
      <c r="B374" s="282" t="str">
        <f>工程量核对表!B373</f>
        <v>dn63mmPE管购、运、安</v>
      </c>
      <c r="C374" s="210" t="str">
        <f>工程量核对表!C373</f>
        <v>m</v>
      </c>
      <c r="D374" s="283"/>
      <c r="E374" s="283"/>
      <c r="F374" s="283"/>
      <c r="G374" s="283"/>
      <c r="H374" s="283"/>
      <c r="I374" s="283">
        <v>3</v>
      </c>
      <c r="J374" s="284">
        <v>30.6</v>
      </c>
      <c r="K374" s="284"/>
      <c r="L374" s="283">
        <v>91.8</v>
      </c>
      <c r="M374" s="283"/>
      <c r="N374" s="298">
        <f ca="1">工程量核对表!F373</f>
        <v>3</v>
      </c>
      <c r="O374" s="213">
        <f>O333</f>
        <v>26.6527684684685</v>
      </c>
      <c r="P374" s="213"/>
      <c r="Q374" s="312">
        <f ca="1" t="shared" si="135"/>
        <v>79.9583054054055</v>
      </c>
      <c r="R374" s="312"/>
      <c r="S374" s="213">
        <f ca="1" t="shared" si="136"/>
        <v>79.9583054054055</v>
      </c>
      <c r="T374" s="298">
        <f ca="1" t="shared" si="137"/>
        <v>-11.8416945945945</v>
      </c>
      <c r="U374" s="313" t="s">
        <v>45</v>
      </c>
    </row>
    <row r="375" s="162" customFormat="1" ht="25" customHeight="1" spans="1:21">
      <c r="A375" s="274" t="str">
        <f>工程量核对表!A374</f>
        <v>三</v>
      </c>
      <c r="B375" s="275" t="str">
        <f>工程量核对表!B374</f>
        <v>库房领取管材</v>
      </c>
      <c r="C375" s="276"/>
      <c r="D375" s="277"/>
      <c r="E375" s="277"/>
      <c r="F375" s="277"/>
      <c r="G375" s="277">
        <v>1078630.31</v>
      </c>
      <c r="H375" s="277"/>
      <c r="I375" s="277"/>
      <c r="J375" s="293"/>
      <c r="K375" s="293"/>
      <c r="L375" s="277">
        <v>325192.66</v>
      </c>
      <c r="M375" s="277"/>
      <c r="N375" s="294"/>
      <c r="O375" s="295"/>
      <c r="P375" s="295"/>
      <c r="Q375" s="308">
        <f ca="1">SUM(Q376:Q383)</f>
        <v>320343.32</v>
      </c>
      <c r="R375" s="308"/>
      <c r="S375" s="308">
        <f ca="1">SUM(S376:S383)</f>
        <v>-758286.99</v>
      </c>
      <c r="T375" s="308">
        <f ca="1">SUM(T376:T383)</f>
        <v>-4849.34</v>
      </c>
      <c r="U375" s="309"/>
    </row>
    <row r="376" s="162" customFormat="1" ht="25" customHeight="1" spans="1:21">
      <c r="A376" s="208">
        <f>工程量核对表!A375</f>
        <v>1</v>
      </c>
      <c r="B376" s="282" t="str">
        <f>工程量核对表!B375</f>
        <v>dn63mmPE管安装（供水主管）</v>
      </c>
      <c r="C376" s="210" t="str">
        <f>工程量核对表!C375</f>
        <v>m</v>
      </c>
      <c r="D376" s="283">
        <v>3400</v>
      </c>
      <c r="E376" s="283">
        <v>25.17</v>
      </c>
      <c r="F376" s="283"/>
      <c r="G376" s="283">
        <f t="shared" ref="G376:G381" si="138">D376*E376</f>
        <v>85578</v>
      </c>
      <c r="H376" s="283"/>
      <c r="I376" s="283">
        <v>2500</v>
      </c>
      <c r="J376" s="284">
        <v>23.3</v>
      </c>
      <c r="K376" s="284"/>
      <c r="L376" s="283">
        <f t="shared" ref="L376:L381" si="139">I376*J376</f>
        <v>58250</v>
      </c>
      <c r="M376" s="283"/>
      <c r="N376" s="298">
        <f ca="1">工程量核对表!F375</f>
        <v>2500</v>
      </c>
      <c r="O376" s="213">
        <v>23.3</v>
      </c>
      <c r="P376" s="213"/>
      <c r="Q376" s="312">
        <f ca="1" t="shared" ref="Q376:Q382" si="140">O376*N376</f>
        <v>58250</v>
      </c>
      <c r="R376" s="312"/>
      <c r="S376" s="213">
        <f ca="1" t="shared" ref="S376:S385" si="141">Q376-G376</f>
        <v>-27328</v>
      </c>
      <c r="T376" s="298">
        <f ca="1" t="shared" ref="T376:T385" si="142">Q376-L376</f>
        <v>0</v>
      </c>
      <c r="U376" s="323" t="s">
        <v>36</v>
      </c>
    </row>
    <row r="377" s="162" customFormat="1" ht="25" customHeight="1" spans="1:21">
      <c r="A377" s="208">
        <f>工程量核对表!A376</f>
        <v>2</v>
      </c>
      <c r="B377" s="282" t="str">
        <f>工程量核对表!B376</f>
        <v>dn50mmPE管安装（供水主管）</v>
      </c>
      <c r="C377" s="210" t="str">
        <f>工程量核对表!C376</f>
        <v>m</v>
      </c>
      <c r="D377" s="283">
        <v>7000</v>
      </c>
      <c r="E377" s="283">
        <v>15.7</v>
      </c>
      <c r="F377" s="283"/>
      <c r="G377" s="283">
        <f t="shared" si="138"/>
        <v>109900</v>
      </c>
      <c r="H377" s="283"/>
      <c r="I377" s="283">
        <v>3800</v>
      </c>
      <c r="J377" s="284">
        <v>15.7</v>
      </c>
      <c r="K377" s="284"/>
      <c r="L377" s="283">
        <f t="shared" si="139"/>
        <v>59660</v>
      </c>
      <c r="M377" s="283"/>
      <c r="N377" s="298">
        <f ca="1">工程量核对表!F376</f>
        <v>3800</v>
      </c>
      <c r="O377" s="213">
        <v>15.7</v>
      </c>
      <c r="P377" s="213"/>
      <c r="Q377" s="312">
        <f ca="1" t="shared" si="140"/>
        <v>59660</v>
      </c>
      <c r="R377" s="312"/>
      <c r="S377" s="213">
        <f ca="1" t="shared" si="141"/>
        <v>-50240</v>
      </c>
      <c r="T377" s="298">
        <f ca="1" t="shared" si="142"/>
        <v>0</v>
      </c>
      <c r="U377" s="324"/>
    </row>
    <row r="378" s="162" customFormat="1" ht="25" customHeight="1" spans="1:21">
      <c r="A378" s="208">
        <f>工程量核对表!A377</f>
        <v>3</v>
      </c>
      <c r="B378" s="282" t="str">
        <f>工程量核对表!B377</f>
        <v>dn40mmPE管安装（供水主管）</v>
      </c>
      <c r="C378" s="210" t="str">
        <f>工程量核对表!C377</f>
        <v>m</v>
      </c>
      <c r="D378" s="283">
        <v>6800</v>
      </c>
      <c r="E378" s="283">
        <v>10.16</v>
      </c>
      <c r="F378" s="283"/>
      <c r="G378" s="283">
        <f t="shared" si="138"/>
        <v>69088</v>
      </c>
      <c r="H378" s="283"/>
      <c r="I378" s="283">
        <v>2000</v>
      </c>
      <c r="J378" s="284">
        <v>10.16</v>
      </c>
      <c r="K378" s="284"/>
      <c r="L378" s="283">
        <f t="shared" si="139"/>
        <v>20320</v>
      </c>
      <c r="M378" s="283"/>
      <c r="N378" s="298">
        <f ca="1">工程量核对表!F377</f>
        <v>2000</v>
      </c>
      <c r="O378" s="213">
        <v>10.16</v>
      </c>
      <c r="P378" s="213"/>
      <c r="Q378" s="312">
        <f ca="1" t="shared" si="140"/>
        <v>20320</v>
      </c>
      <c r="R378" s="312"/>
      <c r="S378" s="213">
        <f ca="1" t="shared" si="141"/>
        <v>-48768</v>
      </c>
      <c r="T378" s="298">
        <f ca="1" t="shared" si="142"/>
        <v>0</v>
      </c>
      <c r="U378" s="324"/>
    </row>
    <row r="379" s="162" customFormat="1" ht="25" customHeight="1" spans="1:21">
      <c r="A379" s="208">
        <f>工程量核对表!A378</f>
        <v>4</v>
      </c>
      <c r="B379" s="282" t="str">
        <f>工程量核对表!B378</f>
        <v>dn32mmPE管安装（供水主管）</v>
      </c>
      <c r="C379" s="210" t="str">
        <f>工程量核对表!C378</f>
        <v>m</v>
      </c>
      <c r="D379" s="283">
        <v>16100</v>
      </c>
      <c r="E379" s="283">
        <v>6.7</v>
      </c>
      <c r="F379" s="283"/>
      <c r="G379" s="283">
        <f t="shared" si="138"/>
        <v>107870</v>
      </c>
      <c r="H379" s="283"/>
      <c r="I379" s="283">
        <v>12000</v>
      </c>
      <c r="J379" s="284">
        <v>6.7</v>
      </c>
      <c r="K379" s="284"/>
      <c r="L379" s="283">
        <f t="shared" si="139"/>
        <v>80400</v>
      </c>
      <c r="M379" s="283"/>
      <c r="N379" s="298">
        <f ca="1">工程量核对表!F378</f>
        <v>12000</v>
      </c>
      <c r="O379" s="213">
        <v>6.7</v>
      </c>
      <c r="P379" s="213"/>
      <c r="Q379" s="312">
        <f ca="1" t="shared" si="140"/>
        <v>80400</v>
      </c>
      <c r="R379" s="312"/>
      <c r="S379" s="213">
        <f ca="1" t="shared" si="141"/>
        <v>-27470</v>
      </c>
      <c r="T379" s="298">
        <f ca="1" t="shared" si="142"/>
        <v>0</v>
      </c>
      <c r="U379" s="324"/>
    </row>
    <row r="380" s="162" customFormat="1" ht="25" customHeight="1" spans="1:21">
      <c r="A380" s="208">
        <f>工程量核对表!A379</f>
        <v>5</v>
      </c>
      <c r="B380" s="282" t="str">
        <f>工程量核对表!B379</f>
        <v>dn25mmPE管安装（供水主管）</v>
      </c>
      <c r="C380" s="210" t="str">
        <f>工程量核对表!C379</f>
        <v>m</v>
      </c>
      <c r="D380" s="283">
        <v>17700</v>
      </c>
      <c r="E380" s="283">
        <v>4.17</v>
      </c>
      <c r="F380" s="283"/>
      <c r="G380" s="283">
        <f t="shared" si="138"/>
        <v>73809</v>
      </c>
      <c r="H380" s="283"/>
      <c r="I380" s="283">
        <v>8800</v>
      </c>
      <c r="J380" s="284">
        <v>4.17</v>
      </c>
      <c r="K380" s="284"/>
      <c r="L380" s="283">
        <f t="shared" si="139"/>
        <v>36696</v>
      </c>
      <c r="M380" s="283"/>
      <c r="N380" s="298">
        <f ca="1">工程量核对表!F379</f>
        <v>8800</v>
      </c>
      <c r="O380" s="213">
        <v>4.17</v>
      </c>
      <c r="P380" s="213"/>
      <c r="Q380" s="312">
        <f ca="1" t="shared" si="140"/>
        <v>36696</v>
      </c>
      <c r="R380" s="312"/>
      <c r="S380" s="213">
        <f ca="1" t="shared" si="141"/>
        <v>-37113</v>
      </c>
      <c r="T380" s="298">
        <f ca="1" t="shared" si="142"/>
        <v>0</v>
      </c>
      <c r="U380" s="324"/>
    </row>
    <row r="381" s="162" customFormat="1" ht="25" customHeight="1" spans="1:21">
      <c r="A381" s="208">
        <f>工程量核对表!A380</f>
        <v>6</v>
      </c>
      <c r="B381" s="282" t="str">
        <f>工程量核对表!B380</f>
        <v>dn20mmPE管安装（下户管）</v>
      </c>
      <c r="C381" s="210" t="str">
        <f>工程量核对表!C380</f>
        <v>m</v>
      </c>
      <c r="D381" s="283">
        <v>30400</v>
      </c>
      <c r="E381" s="283">
        <v>3.47</v>
      </c>
      <c r="F381" s="283"/>
      <c r="G381" s="283">
        <f t="shared" si="138"/>
        <v>105488</v>
      </c>
      <c r="H381" s="283"/>
      <c r="I381" s="283">
        <v>16900</v>
      </c>
      <c r="J381" s="284">
        <v>3.47</v>
      </c>
      <c r="K381" s="284"/>
      <c r="L381" s="283">
        <f t="shared" si="139"/>
        <v>58643</v>
      </c>
      <c r="M381" s="283"/>
      <c r="N381" s="298">
        <f ca="1">工程量核对表!F380</f>
        <v>16900</v>
      </c>
      <c r="O381" s="213">
        <v>3.47</v>
      </c>
      <c r="P381" s="213"/>
      <c r="Q381" s="312">
        <f ca="1" t="shared" si="140"/>
        <v>58643</v>
      </c>
      <c r="R381" s="312"/>
      <c r="S381" s="213">
        <f ca="1" t="shared" si="141"/>
        <v>-46845</v>
      </c>
      <c r="T381" s="298">
        <f ca="1" t="shared" si="142"/>
        <v>0</v>
      </c>
      <c r="U381" s="324"/>
    </row>
    <row r="382" s="162" customFormat="1" ht="25" customHeight="1" spans="1:21">
      <c r="A382" s="208">
        <f>工程量核对表!A381</f>
        <v>7</v>
      </c>
      <c r="B382" s="282" t="str">
        <f>工程量核对表!B381</f>
        <v>各类管件</v>
      </c>
      <c r="C382" s="210" t="str">
        <f>工程量核对表!C381</f>
        <v>%</v>
      </c>
      <c r="D382" s="283"/>
      <c r="E382" s="283"/>
      <c r="F382" s="283"/>
      <c r="G382" s="283">
        <v>46897.31</v>
      </c>
      <c r="H382" s="283"/>
      <c r="I382" s="283"/>
      <c r="J382" s="284"/>
      <c r="K382" s="284"/>
      <c r="L382" s="283">
        <v>11223.66</v>
      </c>
      <c r="M382" s="283"/>
      <c r="N382" s="298"/>
      <c r="O382" s="213"/>
      <c r="P382" s="213"/>
      <c r="Q382" s="312">
        <v>6374.32</v>
      </c>
      <c r="R382" s="312"/>
      <c r="S382" s="213">
        <f t="shared" si="141"/>
        <v>-40522.99</v>
      </c>
      <c r="T382" s="298">
        <f t="shared" si="142"/>
        <v>-4849.34</v>
      </c>
      <c r="U382" s="324"/>
    </row>
    <row r="383" s="162" customFormat="1" ht="25" customHeight="1" spans="1:21">
      <c r="A383" s="208">
        <f>工程量核对表!A382</f>
        <v>8</v>
      </c>
      <c r="B383" s="282" t="str">
        <f>工程量核对表!B382</f>
        <v>dn100热镀钢管</v>
      </c>
      <c r="C383" s="210" t="str">
        <f>工程量核对表!C382</f>
        <v>m</v>
      </c>
      <c r="D383" s="283">
        <v>8000</v>
      </c>
      <c r="E383" s="283">
        <v>60</v>
      </c>
      <c r="F383" s="283"/>
      <c r="G383" s="283">
        <f>D383*E383</f>
        <v>480000</v>
      </c>
      <c r="H383" s="283"/>
      <c r="I383" s="283"/>
      <c r="J383" s="284"/>
      <c r="K383" s="284"/>
      <c r="L383" s="283"/>
      <c r="M383" s="283"/>
      <c r="N383" s="298"/>
      <c r="O383" s="213"/>
      <c r="P383" s="213"/>
      <c r="Q383" s="312"/>
      <c r="R383" s="312"/>
      <c r="S383" s="213">
        <f t="shared" si="141"/>
        <v>-480000</v>
      </c>
      <c r="T383" s="298">
        <f t="shared" si="142"/>
        <v>0</v>
      </c>
      <c r="U383" s="325"/>
    </row>
    <row r="384" s="162" customFormat="1" ht="25" customHeight="1" spans="1:21">
      <c r="A384" s="316"/>
      <c r="B384" s="317" t="s">
        <v>74</v>
      </c>
      <c r="C384" s="316"/>
      <c r="D384" s="318">
        <v>63135.83</v>
      </c>
      <c r="E384" s="319"/>
      <c r="F384" s="319"/>
      <c r="G384" s="319"/>
      <c r="H384" s="320"/>
      <c r="I384" s="318">
        <v>63135.83</v>
      </c>
      <c r="J384" s="319"/>
      <c r="K384" s="319"/>
      <c r="L384" s="319"/>
      <c r="M384" s="320"/>
      <c r="N384" s="321">
        <v>25500</v>
      </c>
      <c r="O384" s="322"/>
      <c r="P384" s="322"/>
      <c r="Q384" s="322"/>
      <c r="R384" s="326"/>
      <c r="S384" s="292">
        <f t="shared" ref="S384:S389" si="143">N384-D384</f>
        <v>-37635.83</v>
      </c>
      <c r="T384" s="291">
        <f t="shared" ref="T384:T389" si="144">N384-I384</f>
        <v>-37635.83</v>
      </c>
      <c r="U384" s="307"/>
    </row>
    <row r="385" s="162" customFormat="1" ht="25" customHeight="1" spans="1:21">
      <c r="A385" s="327"/>
      <c r="B385" s="328" t="s">
        <v>38</v>
      </c>
      <c r="C385" s="328"/>
      <c r="D385" s="329">
        <f>G6+H6+G313+H313+D384</f>
        <v>1641531.637</v>
      </c>
      <c r="E385" s="330"/>
      <c r="F385" s="330"/>
      <c r="G385" s="330"/>
      <c r="H385" s="331"/>
      <c r="I385" s="329">
        <f>L6+M6+L313+M313+I384</f>
        <v>1048347.35</v>
      </c>
      <c r="J385" s="330"/>
      <c r="K385" s="330"/>
      <c r="L385" s="330"/>
      <c r="M385" s="343"/>
      <c r="N385" s="344">
        <f ca="1">Q6+R6+Q313+R313+N384</f>
        <v>801137.186847424</v>
      </c>
      <c r="O385" s="345"/>
      <c r="P385" s="345"/>
      <c r="Q385" s="345"/>
      <c r="R385" s="348"/>
      <c r="S385" s="349">
        <f ca="1" t="shared" si="143"/>
        <v>-840394.450152576</v>
      </c>
      <c r="T385" s="350">
        <f ca="1" t="shared" si="144"/>
        <v>-247210.163152576</v>
      </c>
      <c r="U385" s="351"/>
    </row>
    <row r="386" s="162" customFormat="1" ht="25" customHeight="1" spans="1:21">
      <c r="A386" s="187"/>
      <c r="B386" s="332" t="s">
        <v>39</v>
      </c>
      <c r="C386" s="328"/>
      <c r="D386" s="329">
        <f>G375</f>
        <v>1078630.31</v>
      </c>
      <c r="E386" s="330"/>
      <c r="F386" s="330"/>
      <c r="G386" s="330"/>
      <c r="H386" s="331"/>
      <c r="I386" s="329">
        <f>L375</f>
        <v>325192.66</v>
      </c>
      <c r="J386" s="330"/>
      <c r="K386" s="330"/>
      <c r="L386" s="330"/>
      <c r="M386" s="346"/>
      <c r="N386" s="344">
        <f ca="1">Q375</f>
        <v>320343.32</v>
      </c>
      <c r="O386" s="345"/>
      <c r="P386" s="345"/>
      <c r="Q386" s="345"/>
      <c r="R386" s="348"/>
      <c r="S386" s="349">
        <f ca="1" t="shared" si="143"/>
        <v>-758286.99</v>
      </c>
      <c r="T386" s="350">
        <f ca="1" t="shared" si="144"/>
        <v>-4849.33999999997</v>
      </c>
      <c r="U386" s="323" t="s">
        <v>36</v>
      </c>
    </row>
    <row r="387" s="162" customFormat="1" ht="25" customHeight="1" spans="1:21">
      <c r="A387" s="187"/>
      <c r="B387" s="332" t="s">
        <v>40</v>
      </c>
      <c r="C387" s="328"/>
      <c r="D387" s="329">
        <f>D384</f>
        <v>63135.83</v>
      </c>
      <c r="E387" s="330"/>
      <c r="F387" s="330"/>
      <c r="G387" s="330"/>
      <c r="H387" s="331"/>
      <c r="I387" s="329">
        <f>I384</f>
        <v>63135.83</v>
      </c>
      <c r="J387" s="330"/>
      <c r="K387" s="330"/>
      <c r="L387" s="330"/>
      <c r="M387" s="346"/>
      <c r="N387" s="344">
        <f>N384</f>
        <v>25500</v>
      </c>
      <c r="O387" s="345"/>
      <c r="P387" s="345"/>
      <c r="Q387" s="345"/>
      <c r="R387" s="348"/>
      <c r="S387" s="349">
        <f t="shared" si="143"/>
        <v>-37635.83</v>
      </c>
      <c r="T387" s="350">
        <f t="shared" si="144"/>
        <v>-37635.83</v>
      </c>
      <c r="U387" s="325"/>
    </row>
    <row r="388" s="162" customFormat="1" ht="25" customHeight="1" spans="1:21">
      <c r="A388" s="187"/>
      <c r="B388" s="332" t="s">
        <v>41</v>
      </c>
      <c r="C388" s="328"/>
      <c r="D388" s="329">
        <f>(D385-D386-D387)*0.01*0</f>
        <v>0</v>
      </c>
      <c r="E388" s="330"/>
      <c r="F388" s="330"/>
      <c r="G388" s="330"/>
      <c r="H388" s="331"/>
      <c r="I388" s="329">
        <f>(I385-I386-I387)*0.01</f>
        <v>6600.1886</v>
      </c>
      <c r="J388" s="330"/>
      <c r="K388" s="330"/>
      <c r="L388" s="330"/>
      <c r="M388" s="346"/>
      <c r="N388" s="344">
        <f ca="1">(N385-N386-N387)*0.01</f>
        <v>4552.93866847424</v>
      </c>
      <c r="O388" s="345"/>
      <c r="P388" s="345"/>
      <c r="Q388" s="345"/>
      <c r="R388" s="348"/>
      <c r="S388" s="349">
        <f ca="1" t="shared" si="143"/>
        <v>4552.93866847424</v>
      </c>
      <c r="T388" s="350">
        <f ca="1" t="shared" si="144"/>
        <v>-2047.24993152576</v>
      </c>
      <c r="U388" s="351"/>
    </row>
    <row r="389" s="162" customFormat="1" ht="25" customHeight="1" spans="1:21">
      <c r="A389" s="187"/>
      <c r="B389" s="118" t="s">
        <v>42</v>
      </c>
      <c r="C389" s="328"/>
      <c r="D389" s="333">
        <f>ROUND(D385-(D386+D387+D388),0)</f>
        <v>499765</v>
      </c>
      <c r="E389" s="334"/>
      <c r="F389" s="334"/>
      <c r="G389" s="334"/>
      <c r="H389" s="331"/>
      <c r="I389" s="329">
        <f>ROUND(I385-(I386+I387+I388),0)</f>
        <v>653419</v>
      </c>
      <c r="J389" s="330"/>
      <c r="K389" s="330"/>
      <c r="L389" s="330"/>
      <c r="M389" s="346"/>
      <c r="N389" s="344">
        <f ca="1">ROUND(N385-(N386+N387+N388),0)</f>
        <v>450741</v>
      </c>
      <c r="O389" s="345"/>
      <c r="P389" s="345"/>
      <c r="Q389" s="345"/>
      <c r="R389" s="348"/>
      <c r="S389" s="349">
        <f ca="1" t="shared" si="143"/>
        <v>-49024</v>
      </c>
      <c r="T389" s="350">
        <f ca="1" t="shared" si="144"/>
        <v>-202678</v>
      </c>
      <c r="U389" s="351"/>
    </row>
    <row r="390" s="162" customFormat="1" ht="25" customHeight="1" spans="1:21">
      <c r="A390" s="335" t="s">
        <v>75</v>
      </c>
      <c r="B390" s="336"/>
      <c r="C390" s="336"/>
      <c r="D390" s="336"/>
      <c r="E390" s="336"/>
      <c r="F390" s="336"/>
      <c r="G390" s="336"/>
      <c r="H390" s="336"/>
      <c r="I390" s="336"/>
      <c r="J390" s="336"/>
      <c r="K390" s="336"/>
      <c r="L390" s="336"/>
      <c r="M390" s="336"/>
      <c r="N390" s="336"/>
      <c r="O390" s="336"/>
      <c r="P390" s="336"/>
      <c r="Q390" s="336"/>
      <c r="R390" s="336"/>
      <c r="S390" s="336"/>
      <c r="T390" s="336"/>
      <c r="U390" s="352"/>
    </row>
    <row r="391" customHeight="1" spans="1:20">
      <c r="A391" s="337"/>
      <c r="B391" s="338"/>
      <c r="C391" s="339"/>
      <c r="D391" s="340"/>
      <c r="E391" s="341"/>
      <c r="F391" s="341"/>
      <c r="G391" s="340"/>
      <c r="H391" s="342"/>
      <c r="I391" s="342"/>
      <c r="J391" s="342"/>
      <c r="K391" s="342"/>
      <c r="L391" s="342"/>
      <c r="M391" s="342"/>
      <c r="N391" s="347"/>
      <c r="O391" s="347"/>
      <c r="P391" s="347"/>
      <c r="Q391" s="347"/>
      <c r="R391" s="353"/>
      <c r="S391" s="354"/>
      <c r="T391" s="347"/>
    </row>
    <row r="392" customHeight="1" spans="1:20">
      <c r="A392" s="337"/>
      <c r="B392" s="338"/>
      <c r="C392" s="339"/>
      <c r="D392" s="340"/>
      <c r="E392" s="340"/>
      <c r="F392" s="340"/>
      <c r="G392" s="340"/>
      <c r="H392" s="342"/>
      <c r="I392" s="342"/>
      <c r="J392" s="342"/>
      <c r="K392" s="342"/>
      <c r="L392" s="342"/>
      <c r="M392" s="342"/>
      <c r="N392" s="347"/>
      <c r="O392" s="347"/>
      <c r="P392" s="347"/>
      <c r="Q392" s="347"/>
      <c r="R392" s="353"/>
      <c r="S392" s="354"/>
      <c r="T392" s="347"/>
    </row>
    <row r="393" customHeight="1" spans="1:20">
      <c r="A393" s="337"/>
      <c r="B393" s="338"/>
      <c r="C393" s="339"/>
      <c r="D393" s="340"/>
      <c r="E393" s="340"/>
      <c r="F393" s="340"/>
      <c r="G393" s="340"/>
      <c r="H393" s="342"/>
      <c r="I393" s="342"/>
      <c r="J393" s="342"/>
      <c r="K393" s="342"/>
      <c r="L393" s="342"/>
      <c r="M393" s="342"/>
      <c r="N393" s="347"/>
      <c r="O393" s="347"/>
      <c r="P393" s="347"/>
      <c r="Q393" s="347"/>
      <c r="R393" s="353"/>
      <c r="S393" s="354"/>
      <c r="T393" s="347"/>
    </row>
    <row r="394" customHeight="1" spans="1:20">
      <c r="A394" s="337"/>
      <c r="B394" s="338"/>
      <c r="C394" s="339"/>
      <c r="D394" s="340"/>
      <c r="E394" s="340"/>
      <c r="F394" s="340"/>
      <c r="G394" s="340"/>
      <c r="H394" s="342"/>
      <c r="I394" s="342"/>
      <c r="J394" s="342"/>
      <c r="K394" s="342"/>
      <c r="L394" s="342"/>
      <c r="M394" s="342"/>
      <c r="N394" s="347"/>
      <c r="O394" s="347"/>
      <c r="P394" s="347"/>
      <c r="Q394" s="347"/>
      <c r="R394" s="353"/>
      <c r="S394" s="354"/>
      <c r="T394" s="347"/>
    </row>
    <row r="395" customHeight="1" spans="1:20">
      <c r="A395" s="337"/>
      <c r="B395" s="338"/>
      <c r="C395" s="339"/>
      <c r="D395" s="340"/>
      <c r="E395" s="340"/>
      <c r="F395" s="340"/>
      <c r="G395" s="340"/>
      <c r="H395" s="342"/>
      <c r="I395" s="342"/>
      <c r="J395" s="342"/>
      <c r="K395" s="342"/>
      <c r="L395" s="342"/>
      <c r="M395" s="342"/>
      <c r="N395" s="347"/>
      <c r="O395" s="347"/>
      <c r="P395" s="347"/>
      <c r="Q395" s="347"/>
      <c r="R395" s="353"/>
      <c r="S395" s="354"/>
      <c r="T395" s="347"/>
    </row>
    <row r="396" customHeight="1" spans="1:20">
      <c r="A396" s="337"/>
      <c r="B396" s="338"/>
      <c r="C396" s="339"/>
      <c r="D396" s="340"/>
      <c r="E396" s="340"/>
      <c r="F396" s="340"/>
      <c r="G396" s="340"/>
      <c r="H396" s="342"/>
      <c r="I396" s="342"/>
      <c r="J396" s="342"/>
      <c r="K396" s="342"/>
      <c r="L396" s="342"/>
      <c r="M396" s="342"/>
      <c r="N396" s="347"/>
      <c r="O396" s="347"/>
      <c r="P396" s="347"/>
      <c r="Q396" s="347"/>
      <c r="R396" s="353"/>
      <c r="S396" s="354"/>
      <c r="T396" s="347"/>
    </row>
    <row r="397" customHeight="1" spans="1:20">
      <c r="A397" s="337"/>
      <c r="B397" s="338"/>
      <c r="C397" s="339"/>
      <c r="D397" s="340"/>
      <c r="E397" s="340"/>
      <c r="F397" s="340"/>
      <c r="G397" s="340"/>
      <c r="H397" s="342"/>
      <c r="I397" s="342"/>
      <c r="J397" s="342"/>
      <c r="K397" s="342"/>
      <c r="L397" s="342"/>
      <c r="M397" s="342"/>
      <c r="N397" s="347"/>
      <c r="O397" s="347"/>
      <c r="P397" s="347"/>
      <c r="Q397" s="347"/>
      <c r="R397" s="353"/>
      <c r="S397" s="354"/>
      <c r="T397" s="347"/>
    </row>
    <row r="398" customHeight="1" spans="1:20">
      <c r="A398" s="337"/>
      <c r="B398" s="338"/>
      <c r="C398" s="339"/>
      <c r="D398" s="340"/>
      <c r="E398" s="340"/>
      <c r="F398" s="340"/>
      <c r="G398" s="340"/>
      <c r="H398" s="342"/>
      <c r="I398" s="342"/>
      <c r="J398" s="342"/>
      <c r="K398" s="342"/>
      <c r="L398" s="342"/>
      <c r="M398" s="342"/>
      <c r="N398" s="347"/>
      <c r="O398" s="347"/>
      <c r="P398" s="347"/>
      <c r="Q398" s="347"/>
      <c r="R398" s="353"/>
      <c r="S398" s="354"/>
      <c r="T398" s="347"/>
    </row>
    <row r="399" customHeight="1" spans="1:20">
      <c r="A399" s="337"/>
      <c r="B399" s="338"/>
      <c r="C399" s="339"/>
      <c r="D399" s="340"/>
      <c r="E399" s="340"/>
      <c r="F399" s="340"/>
      <c r="G399" s="340"/>
      <c r="H399" s="342"/>
      <c r="I399" s="342"/>
      <c r="J399" s="342"/>
      <c r="K399" s="342"/>
      <c r="L399" s="342"/>
      <c r="M399" s="342"/>
      <c r="N399" s="347"/>
      <c r="O399" s="347"/>
      <c r="P399" s="347"/>
      <c r="Q399" s="347"/>
      <c r="R399" s="353"/>
      <c r="S399" s="354"/>
      <c r="T399" s="347"/>
    </row>
    <row r="400" customHeight="1" spans="1:20">
      <c r="A400" s="337"/>
      <c r="B400" s="338"/>
      <c r="C400" s="339"/>
      <c r="D400" s="340"/>
      <c r="E400" s="340"/>
      <c r="F400" s="340"/>
      <c r="G400" s="340"/>
      <c r="H400" s="342"/>
      <c r="I400" s="342"/>
      <c r="J400" s="342"/>
      <c r="K400" s="342"/>
      <c r="L400" s="342"/>
      <c r="M400" s="342"/>
      <c r="N400" s="347"/>
      <c r="O400" s="347"/>
      <c r="P400" s="347"/>
      <c r="Q400" s="347"/>
      <c r="R400" s="353"/>
      <c r="S400" s="354"/>
      <c r="T400" s="347"/>
    </row>
    <row r="401" customHeight="1" spans="1:20">
      <c r="A401" s="337"/>
      <c r="B401" s="338"/>
      <c r="C401" s="339"/>
      <c r="D401" s="340"/>
      <c r="E401" s="340"/>
      <c r="F401" s="340"/>
      <c r="G401" s="340"/>
      <c r="H401" s="342"/>
      <c r="I401" s="342"/>
      <c r="J401" s="342"/>
      <c r="K401" s="342"/>
      <c r="L401" s="342"/>
      <c r="M401" s="342"/>
      <c r="N401" s="347"/>
      <c r="O401" s="347"/>
      <c r="P401" s="347"/>
      <c r="Q401" s="347"/>
      <c r="R401" s="353"/>
      <c r="S401" s="354"/>
      <c r="T401" s="347"/>
    </row>
  </sheetData>
  <autoFilter xmlns:etc="http://www.wps.cn/officeDocument/2017/etCustomData" ref="A3:U390" etc:filterBottomFollowUsedRange="0">
    <extLst/>
  </autoFilter>
  <mergeCells count="47">
    <mergeCell ref="A1:U1"/>
    <mergeCell ref="A2:U2"/>
    <mergeCell ref="D3:H3"/>
    <mergeCell ref="I3:M3"/>
    <mergeCell ref="N3:R3"/>
    <mergeCell ref="S3:T3"/>
    <mergeCell ref="E4:F4"/>
    <mergeCell ref="G4:H4"/>
    <mergeCell ref="J4:K4"/>
    <mergeCell ref="L4:M4"/>
    <mergeCell ref="O4:P4"/>
    <mergeCell ref="Q4:R4"/>
    <mergeCell ref="D384:G384"/>
    <mergeCell ref="I384:L384"/>
    <mergeCell ref="N384:Q384"/>
    <mergeCell ref="D385:G385"/>
    <mergeCell ref="I385:L385"/>
    <mergeCell ref="N385:Q385"/>
    <mergeCell ref="D386:G386"/>
    <mergeCell ref="I386:L386"/>
    <mergeCell ref="N386:Q386"/>
    <mergeCell ref="D387:G387"/>
    <mergeCell ref="I387:L387"/>
    <mergeCell ref="N387:Q387"/>
    <mergeCell ref="D388:G388"/>
    <mergeCell ref="I388:L388"/>
    <mergeCell ref="N388:Q388"/>
    <mergeCell ref="D389:G389"/>
    <mergeCell ref="I389:L389"/>
    <mergeCell ref="N389:Q389"/>
    <mergeCell ref="A390:U390"/>
    <mergeCell ref="A3:A5"/>
    <mergeCell ref="A12:A15"/>
    <mergeCell ref="A84:A87"/>
    <mergeCell ref="A143:A146"/>
    <mergeCell ref="A205:A206"/>
    <mergeCell ref="A254:A256"/>
    <mergeCell ref="B3:B5"/>
    <mergeCell ref="C3:C5"/>
    <mergeCell ref="D4:D5"/>
    <mergeCell ref="I4:I5"/>
    <mergeCell ref="N4:N5"/>
    <mergeCell ref="S4:S5"/>
    <mergeCell ref="T4:T5"/>
    <mergeCell ref="U3:U5"/>
    <mergeCell ref="U376:U383"/>
    <mergeCell ref="U386:U387"/>
  </mergeCells>
  <pageMargins left="0.629861111111111" right="0.393055555555556" top="0.472222222222222" bottom="0.472222222222222" header="0.314583333333333" footer="0.314583333333333"/>
  <pageSetup paperSize="9" scale="62" fitToHeight="0" orientation="landscape" horizontalDpi="600"/>
  <headerFooter>
    <oddHeader>&amp;R&amp;10
</oddHeader>
    <oddFooter>&amp;C&amp;"楷体"第 &amp;P 页，共 &amp;N 页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82"/>
  <sheetViews>
    <sheetView workbookViewId="0">
      <pane ySplit="4" topLeftCell="A5" activePane="bottomLeft" state="frozen"/>
      <selection/>
      <selection pane="bottomLeft" activeCell="N11" sqref="N11"/>
    </sheetView>
  </sheetViews>
  <sheetFormatPr defaultColWidth="9" defaultRowHeight="14.25"/>
  <cols>
    <col min="1" max="1" width="6" style="162" customWidth="1"/>
    <col min="2" max="2" width="32.875" style="166" customWidth="1"/>
    <col min="3" max="3" width="5.775" style="162" customWidth="1"/>
    <col min="4" max="4" width="8.775" style="167" customWidth="1"/>
    <col min="5" max="5" width="8.775" style="168" customWidth="1"/>
    <col min="6" max="6" width="8.775" style="169" customWidth="1"/>
    <col min="7" max="8" width="9.55833333333333" style="170" customWidth="1"/>
    <col min="9" max="9" width="9.09166666666667" style="171" customWidth="1"/>
    <col min="10" max="10" width="13.75" style="172" hidden="1" customWidth="1"/>
    <col min="11" max="11" width="9.625" style="173" hidden="1" customWidth="1"/>
    <col min="12" max="12" width="9.25" style="173" hidden="1" customWidth="1"/>
    <col min="13" max="16384" width="9" style="174"/>
  </cols>
  <sheetData>
    <row r="1" s="158" customFormat="1" ht="48" customHeight="1" spans="1:12">
      <c r="A1" s="175" t="s">
        <v>76</v>
      </c>
      <c r="B1" s="176"/>
      <c r="C1" s="176"/>
      <c r="D1" s="177"/>
      <c r="E1" s="178"/>
      <c r="F1" s="179"/>
      <c r="G1" s="177"/>
      <c r="H1" s="177"/>
      <c r="I1" s="221"/>
      <c r="J1" s="222"/>
      <c r="K1" s="223"/>
      <c r="L1" s="223"/>
    </row>
    <row r="2" s="159" customFormat="1" ht="17" customHeight="1" spans="1:12">
      <c r="A2" s="117" t="s">
        <v>22</v>
      </c>
      <c r="B2" s="117"/>
      <c r="C2" s="117"/>
      <c r="D2" s="180"/>
      <c r="E2" s="180"/>
      <c r="F2" s="180"/>
      <c r="G2" s="180"/>
      <c r="H2" s="180"/>
      <c r="I2" s="180"/>
      <c r="J2" s="222"/>
      <c r="K2" s="223"/>
      <c r="L2" s="223"/>
    </row>
    <row r="3" s="159" customFormat="1" ht="17" customHeight="1" spans="1:12">
      <c r="A3" s="181" t="s">
        <v>44</v>
      </c>
      <c r="B3" s="182" t="s">
        <v>24</v>
      </c>
      <c r="C3" s="182" t="s">
        <v>25</v>
      </c>
      <c r="D3" s="182" t="s">
        <v>77</v>
      </c>
      <c r="E3" s="182" t="s">
        <v>78</v>
      </c>
      <c r="F3" s="182" t="s">
        <v>79</v>
      </c>
      <c r="G3" s="183" t="s">
        <v>80</v>
      </c>
      <c r="H3" s="184"/>
      <c r="I3" s="224" t="s">
        <v>48</v>
      </c>
      <c r="J3" s="222"/>
      <c r="K3" s="223"/>
      <c r="L3" s="223"/>
    </row>
    <row r="4" s="159" customFormat="1" ht="18" customHeight="1" spans="1:12">
      <c r="A4" s="185"/>
      <c r="B4" s="186"/>
      <c r="C4" s="186"/>
      <c r="D4" s="186"/>
      <c r="E4" s="186"/>
      <c r="F4" s="186"/>
      <c r="G4" s="187" t="s">
        <v>81</v>
      </c>
      <c r="H4" s="187" t="s">
        <v>82</v>
      </c>
      <c r="I4" s="224"/>
      <c r="J4" s="222"/>
      <c r="K4" s="223"/>
      <c r="L4" s="223"/>
    </row>
    <row r="5" s="160" customFormat="1" ht="16.5" customHeight="1" spans="1:12">
      <c r="A5" s="188"/>
      <c r="B5" s="189" t="s">
        <v>54</v>
      </c>
      <c r="C5" s="190"/>
      <c r="D5" s="191"/>
      <c r="E5" s="192"/>
      <c r="F5" s="193"/>
      <c r="G5" s="194"/>
      <c r="H5" s="194"/>
      <c r="I5" s="225"/>
      <c r="J5" s="226"/>
      <c r="K5" s="227"/>
      <c r="L5" s="227"/>
    </row>
    <row r="6" s="161" customFormat="1" ht="16.5" customHeight="1" spans="1:12">
      <c r="A6" s="189" t="str">
        <f>工程量计算稿!A5</f>
        <v>一</v>
      </c>
      <c r="B6" s="195" t="str">
        <f>工程量计算稿!B5</f>
        <v>张家湾供水工程</v>
      </c>
      <c r="C6" s="196"/>
      <c r="D6" s="197"/>
      <c r="E6" s="198"/>
      <c r="F6" s="199"/>
      <c r="G6" s="200"/>
      <c r="H6" s="200"/>
      <c r="I6" s="228"/>
      <c r="J6" s="226"/>
      <c r="K6" s="227"/>
      <c r="L6" s="227"/>
    </row>
    <row r="7" s="162" customFormat="1" ht="16.5" customHeight="1" spans="1:12">
      <c r="A7" s="201" t="str">
        <f>工程量计算稿!A6</f>
        <v>（一）</v>
      </c>
      <c r="B7" s="202" t="str">
        <f>工程量计算稿!B6</f>
        <v>蓄水池工程</v>
      </c>
      <c r="C7" s="203" t="str">
        <f>工程量计算稿!C6</f>
        <v>个</v>
      </c>
      <c r="D7" s="204"/>
      <c r="E7" s="205"/>
      <c r="F7" s="206"/>
      <c r="G7" s="207"/>
      <c r="H7" s="207"/>
      <c r="I7" s="229"/>
      <c r="J7" s="172"/>
      <c r="K7" s="173"/>
      <c r="L7" s="173"/>
    </row>
    <row r="8" s="162" customFormat="1" ht="16.5" customHeight="1" spans="1:12">
      <c r="A8" s="208">
        <f>工程量计算稿!A7</f>
        <v>1</v>
      </c>
      <c r="B8" s="209" t="str">
        <f>工程量计算稿!B7</f>
        <v>土方开挖</v>
      </c>
      <c r="C8" s="210" t="str">
        <f>工程量计算稿!C7</f>
        <v>m3</v>
      </c>
      <c r="D8" s="211">
        <f>结算审核明细表!D9</f>
        <v>73.84</v>
      </c>
      <c r="E8" s="212">
        <f>结算审核明细表!I9</f>
        <v>31.5</v>
      </c>
      <c r="F8" s="213">
        <f ca="1">工程量计算稿!E7</f>
        <v>31.5</v>
      </c>
      <c r="G8" s="214">
        <f ca="1" t="shared" ref="G8:G30" si="0">F8-D8</f>
        <v>-42.34</v>
      </c>
      <c r="H8" s="214">
        <f ca="1" t="shared" ref="H8:H30" si="1">F8-E8</f>
        <v>0</v>
      </c>
      <c r="I8" s="230"/>
      <c r="J8" s="231" t="str">
        <f>B8</f>
        <v>土方开挖</v>
      </c>
      <c r="K8" s="232">
        <f ca="1">G8+G32+G51+G61+G80+G105+G110+G121+G139+G163+G182+G201+G222+G233+G242+G250+G271+G281+G295+G303</f>
        <v>164.83915848</v>
      </c>
      <c r="L8" s="232">
        <f ca="1">H8+H32+H51+H61+H80+H105+H110+H121+H139+H163+H182+H201+H222+H233+H242+H250+H271+H281+H295+H303</f>
        <v>-53.67084152</v>
      </c>
    </row>
    <row r="9" s="163" customFormat="1" ht="16.5" customHeight="1" spans="1:12">
      <c r="A9" s="208">
        <f>工程量计算稿!A8</f>
        <v>2</v>
      </c>
      <c r="B9" s="209" t="str">
        <f>工程量计算稿!B8</f>
        <v>石方开挖</v>
      </c>
      <c r="C9" s="210" t="str">
        <f>工程量计算稿!C8</f>
        <v>m3</v>
      </c>
      <c r="D9" s="211">
        <f>结算审核明细表!D10</f>
        <v>110.75</v>
      </c>
      <c r="E9" s="212">
        <f>结算审核明细表!I10</f>
        <v>93.7</v>
      </c>
      <c r="F9" s="213">
        <f ca="1">工程量计算稿!E8</f>
        <v>93.696</v>
      </c>
      <c r="G9" s="214">
        <f ca="1" t="shared" si="0"/>
        <v>-17.054</v>
      </c>
      <c r="H9" s="214">
        <f ca="1" t="shared" si="1"/>
        <v>-0.00400000000000489</v>
      </c>
      <c r="I9" s="230"/>
      <c r="J9" s="231" t="str">
        <f>B9</f>
        <v>石方开挖</v>
      </c>
      <c r="K9" s="232">
        <f ca="1">G9+G40+G52+G81+G106+G118+G122+G140+G171+G183+G202+G230+G234+G243+G251+G272+G282+G296+G304</f>
        <v>120.72556232</v>
      </c>
      <c r="L9" s="232">
        <f ca="1">H9+H40+H52+H81+H106+H118+H122+H140+H171+H183+H202+H230+H234+H243+H251+H272+H282+H296+H304</f>
        <v>-28.98443768</v>
      </c>
    </row>
    <row r="10" s="163" customFormat="1" ht="16.5" customHeight="1" spans="1:12">
      <c r="A10" s="208">
        <f>工程量计算稿!A9</f>
        <v>3</v>
      </c>
      <c r="B10" s="209" t="str">
        <f>工程量计算稿!B9</f>
        <v>土石方回填</v>
      </c>
      <c r="C10" s="210" t="str">
        <f>工程量计算稿!C9</f>
        <v>m3</v>
      </c>
      <c r="D10" s="211"/>
      <c r="E10" s="212"/>
      <c r="F10" s="213">
        <f ca="1">工程量计算稿!E9</f>
        <v>0</v>
      </c>
      <c r="G10" s="214">
        <f ca="1" t="shared" si="0"/>
        <v>0</v>
      </c>
      <c r="H10" s="214">
        <f ca="1" t="shared" si="1"/>
        <v>0</v>
      </c>
      <c r="I10" s="230"/>
      <c r="J10" s="231" t="str">
        <f>B10</f>
        <v>土石方回填</v>
      </c>
      <c r="K10" s="232">
        <f ca="1">G10+G41+G53+G66+G82+G107+G119+G123+G141+G172+G184+G203+G231+G235+G245+G252+G273+G306</f>
        <v>182.5804</v>
      </c>
      <c r="L10" s="232">
        <f ca="1">H10+H41+H53+H66+H82+H107+H119+H123+H141+H172+H184+H203+H231+H235+H245+H252+H273+H306</f>
        <v>-4.23959999999999</v>
      </c>
    </row>
    <row r="11" s="162" customFormat="1" ht="16.5" customHeight="1" spans="1:12">
      <c r="A11" s="215">
        <f>工程量计算稿!A10</f>
        <v>4</v>
      </c>
      <c r="B11" s="209" t="str">
        <f>工程量计算稿!B10</f>
        <v>C25砼 2级配 32.5水泥 粒径40mm（底板）</v>
      </c>
      <c r="C11" s="210" t="str">
        <f>工程量计算稿!C10</f>
        <v>m3</v>
      </c>
      <c r="D11" s="211">
        <f>结算审核明细表!D12</f>
        <v>12.96</v>
      </c>
      <c r="E11" s="212">
        <f>结算审核明细表!I12</f>
        <v>5.3</v>
      </c>
      <c r="F11" s="213">
        <f ca="1">工程量计算稿!E10</f>
        <v>3.534</v>
      </c>
      <c r="G11" s="214">
        <f ca="1" t="shared" si="0"/>
        <v>-9.426</v>
      </c>
      <c r="H11" s="214">
        <f ca="1" t="shared" si="1"/>
        <v>-1.766</v>
      </c>
      <c r="I11" s="233" t="s">
        <v>83</v>
      </c>
      <c r="J11" s="231" t="s">
        <v>84</v>
      </c>
      <c r="K11" s="232">
        <f ca="1">G11+G33+G111+G124+G223+G274+G26+G62+G67+G68+G98+G99+G108+G155+G156+G164+G216+G236+G239+G244+G265+G305</f>
        <v>24.28361925</v>
      </c>
      <c r="L11" s="173">
        <f ca="1">H11+H33+H111+H124+H223+H274+H26+H62+H67+H68+H98+H99+H108+H155+H156+H164+H216+H236+H239+H244+H265+H305</f>
        <v>-9.14638075</v>
      </c>
    </row>
    <row r="12" s="162" customFormat="1" ht="16.5" customHeight="1" spans="1:12">
      <c r="A12" s="216"/>
      <c r="B12" s="209" t="str">
        <f>工程量计算稿!B11</f>
        <v>C25砼 2级配 32.5水泥 粒径40mm（顶板）</v>
      </c>
      <c r="C12" s="210" t="str">
        <f>工程量计算稿!C11</f>
        <v>m3</v>
      </c>
      <c r="D12" s="211"/>
      <c r="E12" s="212">
        <f>结算审核明细表!I13</f>
        <v>4.29</v>
      </c>
      <c r="F12" s="213">
        <f ca="1">工程量计算稿!E11</f>
        <v>4.086927</v>
      </c>
      <c r="G12" s="214">
        <f ca="1" t="shared" si="0"/>
        <v>4.086927</v>
      </c>
      <c r="H12" s="214">
        <f ca="1" t="shared" si="1"/>
        <v>-0.203073</v>
      </c>
      <c r="I12" s="234"/>
      <c r="J12" s="231" t="s">
        <v>85</v>
      </c>
      <c r="K12" s="232">
        <f ca="1">G12+G13+G14+G34+G43+G44+G54+G57+G83+G84+G85+G86+G112+G127+G142+G143+G144+G145+G164+G165+G174+G175+G185+G188+G204+G205+G224+G236+G239+G253+G254+G255+G277+G283+G297-G164-G236-G239</f>
        <v>38.4028758</v>
      </c>
      <c r="L12" s="173">
        <f ca="1">H12+H13+H14+H34+H43+H44+H54+H57+H83+H84+H85+H86+H112+H127+H142+H143+H144+H145+H164+H165+H174+H175+H185+H188+H204+H205+H224+H236+H239+H253+H254+H255+H277+H283+H297-H164-H236-H239</f>
        <v>-23.4771242</v>
      </c>
    </row>
    <row r="13" s="162" customFormat="1" ht="16.5" customHeight="1" spans="1:12">
      <c r="A13" s="216"/>
      <c r="B13" s="209" t="str">
        <f>工程量计算稿!B12</f>
        <v>C25砼 2级配 32.5水泥 粒径40mm（梁）</v>
      </c>
      <c r="C13" s="210" t="str">
        <f>工程量计算稿!C12</f>
        <v>m3</v>
      </c>
      <c r="D13" s="211"/>
      <c r="E13" s="212">
        <f>结算审核明细表!I14</f>
        <v>1.04</v>
      </c>
      <c r="F13" s="213">
        <f ca="1">工程量计算稿!E12</f>
        <v>0.9216</v>
      </c>
      <c r="G13" s="214">
        <f ca="1" t="shared" si="0"/>
        <v>0.9216</v>
      </c>
      <c r="H13" s="214">
        <f ca="1" t="shared" si="1"/>
        <v>-0.1184</v>
      </c>
      <c r="I13" s="234"/>
      <c r="J13" s="231"/>
      <c r="K13" s="173"/>
      <c r="L13" s="173"/>
    </row>
    <row r="14" s="162" customFormat="1" ht="16.5" customHeight="1" spans="1:12">
      <c r="A14" s="217"/>
      <c r="B14" s="209" t="str">
        <f>工程量计算稿!B13</f>
        <v>C25砼 2级配 32.5水泥 粒径40mm（侧墙）</v>
      </c>
      <c r="C14" s="210" t="str">
        <f>工程量计算稿!C13</f>
        <v>m3</v>
      </c>
      <c r="D14" s="211"/>
      <c r="E14" s="212">
        <f>结算审核明细表!I15</f>
        <v>17.11</v>
      </c>
      <c r="F14" s="213">
        <f ca="1">工程量计算稿!E13</f>
        <v>16.39776</v>
      </c>
      <c r="G14" s="214">
        <f ca="1" t="shared" si="0"/>
        <v>16.39776</v>
      </c>
      <c r="H14" s="214">
        <f ca="1" t="shared" si="1"/>
        <v>-0.712240000000001</v>
      </c>
      <c r="I14" s="235" t="s">
        <v>86</v>
      </c>
      <c r="J14" s="231"/>
      <c r="K14" s="173"/>
      <c r="L14" s="173"/>
    </row>
    <row r="15" s="162" customFormat="1" ht="16.5" customHeight="1" spans="1:12">
      <c r="A15" s="208">
        <f>工程量计算稿!A14</f>
        <v>5</v>
      </c>
      <c r="B15" s="209" t="str">
        <f>工程量计算稿!B14</f>
        <v>M7.5砌砖</v>
      </c>
      <c r="C15" s="210" t="str">
        <f>工程量计算稿!C14</f>
        <v>m3</v>
      </c>
      <c r="D15" s="211">
        <f>结算审核明细表!D16</f>
        <v>23.7</v>
      </c>
      <c r="E15" s="212">
        <f>结算审核明细表!I16</f>
        <v>0</v>
      </c>
      <c r="F15" s="213">
        <f ca="1">工程量计算稿!E14</f>
        <v>0</v>
      </c>
      <c r="G15" s="214">
        <f ca="1" t="shared" si="0"/>
        <v>-23.7</v>
      </c>
      <c r="H15" s="214">
        <f ca="1" t="shared" si="1"/>
        <v>0</v>
      </c>
      <c r="I15" s="236"/>
      <c r="J15" s="231" t="str">
        <f>B15</f>
        <v>M7.5砌砖</v>
      </c>
      <c r="K15" s="173">
        <f ca="1">G15+G35+G46+G55+G64+G87+G113+G125+G146+G166+G177+G186+G206+G225+G237+G256+G275+G284+G298</f>
        <v>-58.56863744</v>
      </c>
      <c r="L15" s="173">
        <f ca="1">H15+H35+H46+H55+H64+H87+H113+H125+H146+H166+H177+H186+H206+H225+H237+H256+H275+H284+H298</f>
        <v>-6.51863744</v>
      </c>
    </row>
    <row r="16" s="162" customFormat="1" ht="16.5" customHeight="1" spans="1:12">
      <c r="A16" s="208">
        <f>工程量计算稿!A15</f>
        <v>6</v>
      </c>
      <c r="B16" s="209" t="str">
        <f>工程量计算稿!B15</f>
        <v>木模制安</v>
      </c>
      <c r="C16" s="210" t="str">
        <f>工程量计算稿!C15</f>
        <v>m2</v>
      </c>
      <c r="D16" s="211">
        <f>结算审核明细表!D17</f>
        <v>76.05</v>
      </c>
      <c r="E16" s="212">
        <f>结算审核明细表!I17</f>
        <v>187.16</v>
      </c>
      <c r="F16" s="213">
        <f ca="1">工程量计算稿!E15</f>
        <v>176.3003</v>
      </c>
      <c r="G16" s="214">
        <f ca="1" t="shared" si="0"/>
        <v>100.2503</v>
      </c>
      <c r="H16" s="214">
        <f ca="1" t="shared" si="1"/>
        <v>-10.8597</v>
      </c>
      <c r="I16" s="234"/>
      <c r="J16" s="231" t="str">
        <f>B16</f>
        <v>木模制安</v>
      </c>
      <c r="K16" s="232">
        <f ca="1">G16+G36+G58+G69+G88+G114+G128+G147+G167+G189+G207+G226+G240+G257+G278+G300</f>
        <v>553.4472</v>
      </c>
      <c r="L16" s="173">
        <f ca="1">H16+H36+H58+H69+H88+H114+H128+H147+H167+H189+H207+H226+H240+H257+H278+H300</f>
        <v>-84.8528</v>
      </c>
    </row>
    <row r="17" s="162" customFormat="1" ht="16.5" customHeight="1" spans="1:12">
      <c r="A17" s="208">
        <f>工程量计算稿!A16</f>
        <v>7</v>
      </c>
      <c r="B17" s="209" t="str">
        <f>工程量计算稿!B16</f>
        <v>钢筋制安</v>
      </c>
      <c r="C17" s="210" t="str">
        <f>工程量计算稿!C16</f>
        <v>kg</v>
      </c>
      <c r="D17" s="211">
        <f>结算审核明细表!D18</f>
        <v>705.6</v>
      </c>
      <c r="E17" s="218">
        <f>结算审核明细表!I18*1000</f>
        <v>1650</v>
      </c>
      <c r="F17" s="213">
        <f ca="1">工程量计算稿!E16</f>
        <v>1407.54412</v>
      </c>
      <c r="G17" s="214">
        <f ca="1" t="shared" si="0"/>
        <v>701.94412</v>
      </c>
      <c r="H17" s="214">
        <f ca="1" t="shared" si="1"/>
        <v>-242.45588</v>
      </c>
      <c r="I17" s="234"/>
      <c r="J17" s="231" t="str">
        <f>B17</f>
        <v>钢筋制安</v>
      </c>
      <c r="K17" s="232">
        <f ca="1">G17+G37+G45+G59+G89+G115+G129+G148+G168+G176+G190+G208+G227+G258+G279+G286+G301</f>
        <v>4291.44141</v>
      </c>
      <c r="L17" s="173">
        <f ca="1">H17+H37+H45+H59+H89+H115+H129+H148+H168+H176+H190+H208+H227+H258+H279+H286+H301</f>
        <v>-1065.47859</v>
      </c>
    </row>
    <row r="18" s="162" customFormat="1" ht="16.5" customHeight="1" spans="1:12">
      <c r="A18" s="208">
        <f>工程量计算稿!A21</f>
        <v>8</v>
      </c>
      <c r="B18" s="209" t="str">
        <f>工程量计算稿!B21</f>
        <v>M10沙浆抹面</v>
      </c>
      <c r="C18" s="210" t="str">
        <f>工程量计算稿!C21</f>
        <v>m2</v>
      </c>
      <c r="D18" s="211">
        <f>结算审核明细表!D19</f>
        <v>107.96</v>
      </c>
      <c r="E18" s="212">
        <f>结算审核明细表!I19</f>
        <v>93.06</v>
      </c>
      <c r="F18" s="213">
        <f ca="1">工程量计算稿!E21</f>
        <v>0</v>
      </c>
      <c r="G18" s="214">
        <f ca="1" t="shared" si="0"/>
        <v>-107.96</v>
      </c>
      <c r="H18" s="214">
        <f ca="1" t="shared" si="1"/>
        <v>-93.06</v>
      </c>
      <c r="I18" s="234"/>
      <c r="J18" s="231" t="str">
        <f>B18</f>
        <v>M10沙浆抹面</v>
      </c>
      <c r="K18" s="173">
        <f ca="1">G18+G38+G56+G65+G90+G116+G126+G149+G169+G187+G209+G228+G238+G259+G276+G285+G299</f>
        <v>-93.59742</v>
      </c>
      <c r="L18" s="173">
        <f ca="1">H18+H38+H56+H65+H90+H116+H126+H149+H169+H187+H209+H228+H238+H259+H276+H285+H299</f>
        <v>-423.41742</v>
      </c>
    </row>
    <row r="19" s="162" customFormat="1" ht="16.5" customHeight="1" spans="1:12">
      <c r="A19" s="208">
        <f>工程量计算稿!A22</f>
        <v>9</v>
      </c>
      <c r="B19" s="209" t="str">
        <f>工程量计算稿!B22</f>
        <v>M10沙浆抹面瓷砖粘贴</v>
      </c>
      <c r="C19" s="210" t="str">
        <f>工程量计算稿!C22</f>
        <v>m2</v>
      </c>
      <c r="D19" s="211">
        <f>结算审核明细表!D20</f>
        <v>13.8</v>
      </c>
      <c r="E19" s="212">
        <f>结算审核明细表!I20</f>
        <v>38.85</v>
      </c>
      <c r="F19" s="213">
        <f ca="1">工程量计算稿!E22</f>
        <v>20.71</v>
      </c>
      <c r="G19" s="214">
        <f ca="1" t="shared" si="0"/>
        <v>6.91</v>
      </c>
      <c r="H19" s="214">
        <f ca="1" t="shared" si="1"/>
        <v>-18.14</v>
      </c>
      <c r="I19" s="230"/>
      <c r="J19" s="231" t="str">
        <f>B19</f>
        <v>M10沙浆抹面瓷砖粘贴</v>
      </c>
      <c r="K19" s="173">
        <f ca="1">G19+G47+G91+G150+G178+G210+G260</f>
        <v>-254.42962</v>
      </c>
      <c r="L19" s="173">
        <f ca="1">H19+H47+H91+H150+H178+H210+H260</f>
        <v>-28.98962</v>
      </c>
    </row>
    <row r="20" s="162" customFormat="1" ht="16.5" customHeight="1" spans="1:12">
      <c r="A20" s="208">
        <f>工程量计算稿!A23</f>
        <v>10</v>
      </c>
      <c r="B20" s="209" t="str">
        <f>工程量计算稿!B23</f>
        <v>人力二次转运材料（运距300米)</v>
      </c>
      <c r="C20" s="210" t="str">
        <f>工程量计算稿!C23</f>
        <v>吨/km</v>
      </c>
      <c r="D20" s="211"/>
      <c r="E20" s="212"/>
      <c r="F20" s="213">
        <f ca="1">工程量计算稿!E23</f>
        <v>0</v>
      </c>
      <c r="G20" s="214">
        <f ca="1" t="shared" si="0"/>
        <v>0</v>
      </c>
      <c r="H20" s="214">
        <f ca="1" t="shared" si="1"/>
        <v>0</v>
      </c>
      <c r="I20" s="230"/>
      <c r="J20" s="172"/>
      <c r="K20" s="173"/>
      <c r="L20" s="173"/>
    </row>
    <row r="21" s="162" customFormat="1" ht="16.5" customHeight="1" spans="1:12">
      <c r="A21" s="208">
        <f>工程量计算稿!A24</f>
        <v>11</v>
      </c>
      <c r="B21" s="209" t="str">
        <f>工程量计算稿!B24</f>
        <v>通气进人孔</v>
      </c>
      <c r="C21" s="210" t="str">
        <f>工程量计算稿!C24</f>
        <v>套</v>
      </c>
      <c r="D21" s="211">
        <f>结算审核明细表!D22</f>
        <v>2</v>
      </c>
      <c r="E21" s="212">
        <f>结算审核明细表!I22</f>
        <v>1</v>
      </c>
      <c r="F21" s="213">
        <f ca="1">工程量计算稿!E24</f>
        <v>1</v>
      </c>
      <c r="G21" s="214">
        <f ca="1" t="shared" si="0"/>
        <v>-1</v>
      </c>
      <c r="H21" s="214">
        <f ca="1" t="shared" si="1"/>
        <v>0</v>
      </c>
      <c r="I21" s="230"/>
      <c r="J21" s="231" t="str">
        <f>B21</f>
        <v>通气进人孔</v>
      </c>
      <c r="K21" s="232">
        <f ca="1">G21+G93+G152+G212+G262</f>
        <v>1</v>
      </c>
      <c r="L21" s="173">
        <f ca="1">H21+H93+H152+H212+H262</f>
        <v>0</v>
      </c>
    </row>
    <row r="22" s="162" customFormat="1" ht="16.5" customHeight="1" spans="1:12">
      <c r="A22" s="208">
        <f>工程量计算稿!A25</f>
        <v>12</v>
      </c>
      <c r="B22" s="209" t="str">
        <f>工程量计算稿!B25</f>
        <v>电力线</v>
      </c>
      <c r="C22" s="210" t="str">
        <f>工程量计算稿!C25</f>
        <v>m</v>
      </c>
      <c r="D22" s="211"/>
      <c r="E22" s="212"/>
      <c r="F22" s="213">
        <f ca="1">工程量计算稿!E25</f>
        <v>150</v>
      </c>
      <c r="G22" s="214">
        <f ca="1" t="shared" si="0"/>
        <v>150</v>
      </c>
      <c r="H22" s="214">
        <f ca="1" t="shared" si="1"/>
        <v>150</v>
      </c>
      <c r="I22" s="230"/>
      <c r="J22" s="231" t="str">
        <f>B22</f>
        <v>电力线</v>
      </c>
      <c r="K22" s="232">
        <f ca="1">(G22+G94+G153+G213+G263)/1000+G335+G344+G351+G359+G367</f>
        <v>0.7</v>
      </c>
      <c r="L22" s="173">
        <f ca="1">(H22+H94+H153+H213+H263)/1000+H335+H344+H351+H359+H367</f>
        <v>0</v>
      </c>
    </row>
    <row r="23" s="162" customFormat="1" ht="16.5" customHeight="1" spans="1:12">
      <c r="A23" s="208">
        <f>工程量计算稿!A26</f>
        <v>13</v>
      </c>
      <c r="B23" s="209" t="str">
        <f>工程量计算稿!B26</f>
        <v>杀毒器</v>
      </c>
      <c r="C23" s="210" t="str">
        <f>工程量计算稿!C26</f>
        <v>台</v>
      </c>
      <c r="D23" s="211"/>
      <c r="E23" s="212"/>
      <c r="F23" s="213">
        <f ca="1">工程量计算稿!E26</f>
        <v>1</v>
      </c>
      <c r="G23" s="214">
        <f ca="1" t="shared" si="0"/>
        <v>1</v>
      </c>
      <c r="H23" s="214">
        <f ca="1" t="shared" si="1"/>
        <v>1</v>
      </c>
      <c r="I23" s="230"/>
      <c r="J23" s="231" t="str">
        <f>B23</f>
        <v>杀毒器</v>
      </c>
      <c r="K23" s="232">
        <f ca="1">G23+G95+G154+G214+G264+G334+G343+G353+G361+G369</f>
        <v>5</v>
      </c>
      <c r="L23" s="173">
        <f ca="1">H23+H95+H154+H214+H264+H334+H343+H353+H361+H369</f>
        <v>0</v>
      </c>
    </row>
    <row r="24" s="162" customFormat="1" ht="16.5" customHeight="1" spans="1:12">
      <c r="A24" s="208">
        <f>工程量计算稿!A27</f>
        <v>14</v>
      </c>
      <c r="B24" s="209" t="str">
        <f>工程量计算稿!B27</f>
        <v>抽水泵（200m）</v>
      </c>
      <c r="C24" s="210" t="str">
        <f>工程量计算稿!C27</f>
        <v>台</v>
      </c>
      <c r="D24" s="211"/>
      <c r="E24" s="212"/>
      <c r="F24" s="213">
        <f ca="1">工程量计算稿!E27</f>
        <v>0</v>
      </c>
      <c r="G24" s="214">
        <f ca="1" t="shared" si="0"/>
        <v>0</v>
      </c>
      <c r="H24" s="214">
        <f ca="1" t="shared" si="1"/>
        <v>0</v>
      </c>
      <c r="I24" s="230"/>
      <c r="J24" s="231" t="str">
        <f>B24</f>
        <v>抽水泵（200m）</v>
      </c>
      <c r="K24" s="173">
        <f ca="1">G24+G96</f>
        <v>0</v>
      </c>
      <c r="L24" s="173">
        <f ca="1">H24+H96</f>
        <v>0</v>
      </c>
    </row>
    <row r="25" s="162" customFormat="1" ht="16.5" customHeight="1" spans="1:12">
      <c r="A25" s="208">
        <f>工程量计算稿!A28</f>
        <v>15</v>
      </c>
      <c r="B25" s="209" t="str">
        <f>工程量计算稿!B28</f>
        <v>一体化净化器</v>
      </c>
      <c r="C25" s="210" t="str">
        <f>工程量计算稿!C28</f>
        <v>台</v>
      </c>
      <c r="D25" s="211"/>
      <c r="E25" s="212"/>
      <c r="F25" s="213">
        <f ca="1">工程量计算稿!E28</f>
        <v>1</v>
      </c>
      <c r="G25" s="214">
        <f ca="1" t="shared" si="0"/>
        <v>1</v>
      </c>
      <c r="H25" s="214">
        <f ca="1" t="shared" si="1"/>
        <v>1</v>
      </c>
      <c r="I25" s="230"/>
      <c r="J25" s="231" t="str">
        <f>B25</f>
        <v>一体化净化器</v>
      </c>
      <c r="K25" s="232">
        <f ca="1">G25+G97+G337</f>
        <v>1</v>
      </c>
      <c r="L25" s="173">
        <f ca="1">H25+H97+H337</f>
        <v>0</v>
      </c>
    </row>
    <row r="26" s="162" customFormat="1" ht="16.5" customHeight="1" spans="1:12">
      <c r="A26" s="208" t="str">
        <f>工程量计算稿!A29</f>
        <v>新增</v>
      </c>
      <c r="B26" s="209" t="str">
        <f>工程量计算稿!B29</f>
        <v>C20砼垫层</v>
      </c>
      <c r="C26" s="210" t="str">
        <f>工程量计算稿!C29</f>
        <v>m3</v>
      </c>
      <c r="D26" s="211"/>
      <c r="E26" s="212">
        <f>结算审核明细表!I27</f>
        <v>1.77</v>
      </c>
      <c r="F26" s="213">
        <f ca="1">工程量计算稿!E29</f>
        <v>1.767</v>
      </c>
      <c r="G26" s="214">
        <f ca="1" t="shared" si="0"/>
        <v>1.767</v>
      </c>
      <c r="H26" s="214">
        <f ca="1" t="shared" si="1"/>
        <v>-0.00299999999999967</v>
      </c>
      <c r="I26" s="230"/>
      <c r="J26" s="231"/>
      <c r="K26" s="173"/>
      <c r="L26" s="173"/>
    </row>
    <row r="27" s="162" customFormat="1" ht="16.5" customHeight="1" spans="1:12">
      <c r="A27" s="208" t="str">
        <f>工程量计算稿!A30</f>
        <v>新增</v>
      </c>
      <c r="B27" s="209" t="str">
        <f>工程量计算稿!B30</f>
        <v>爬梯制安</v>
      </c>
      <c r="C27" s="210" t="str">
        <f>工程量计算稿!C30</f>
        <v>步</v>
      </c>
      <c r="D27" s="211"/>
      <c r="E27" s="212">
        <f>结算审核明细表!I28</f>
        <v>9</v>
      </c>
      <c r="F27" s="213">
        <f ca="1">工程量计算稿!E30</f>
        <v>9</v>
      </c>
      <c r="G27" s="214">
        <f ca="1" t="shared" si="0"/>
        <v>9</v>
      </c>
      <c r="H27" s="214">
        <f ca="1" t="shared" si="1"/>
        <v>0</v>
      </c>
      <c r="I27" s="230"/>
      <c r="J27" s="231" t="str">
        <f>B27</f>
        <v>爬梯制安</v>
      </c>
      <c r="K27" s="232">
        <f ca="1">G27+G100+G157+G218+G266</f>
        <v>41</v>
      </c>
      <c r="L27" s="173">
        <f ca="1">H27+H100+H157+H218+H266</f>
        <v>0</v>
      </c>
    </row>
    <row r="28" s="163" customFormat="1" ht="16.5" customHeight="1" spans="1:12">
      <c r="A28" s="208" t="str">
        <f>工程量计算稿!A31</f>
        <v>新增</v>
      </c>
      <c r="B28" s="209" t="str">
        <f>工程量计算稿!B31</f>
        <v>脚手架</v>
      </c>
      <c r="C28" s="210" t="str">
        <f>工程量计算稿!C31</f>
        <v>m2</v>
      </c>
      <c r="D28" s="211"/>
      <c r="E28" s="212">
        <f>结算审核明细表!I29</f>
        <v>27.71</v>
      </c>
      <c r="F28" s="213">
        <f ca="1">工程量计算稿!E31</f>
        <v>0</v>
      </c>
      <c r="G28" s="214">
        <f ca="1" t="shared" si="0"/>
        <v>0</v>
      </c>
      <c r="H28" s="214">
        <f ca="1" t="shared" si="1"/>
        <v>-27.71</v>
      </c>
      <c r="I28" s="230"/>
      <c r="J28" s="231" t="str">
        <f>B28</f>
        <v>脚手架</v>
      </c>
      <c r="K28" s="173">
        <f ca="1">G28+G101+G158+G217+G267</f>
        <v>0</v>
      </c>
      <c r="L28" s="173">
        <f ca="1">H28+H101+H158+H217+H267</f>
        <v>-112.59</v>
      </c>
    </row>
    <row r="29" s="162" customFormat="1" ht="16.5" customHeight="1" spans="1:12">
      <c r="A29" s="208" t="str">
        <f>工程量计算稿!A32</f>
        <v>新增</v>
      </c>
      <c r="B29" s="209" t="str">
        <f>工程量计算稿!B32</f>
        <v>池顶不锈钢护栏</v>
      </c>
      <c r="C29" s="210" t="str">
        <f>工程量计算稿!C32</f>
        <v>m2</v>
      </c>
      <c r="D29" s="211"/>
      <c r="E29" s="212">
        <f>结算审核明细表!I30</f>
        <v>34.5</v>
      </c>
      <c r="F29" s="213">
        <f ca="1">工程量计算稿!E32</f>
        <v>34.5</v>
      </c>
      <c r="G29" s="214">
        <f ca="1" t="shared" si="0"/>
        <v>34.5</v>
      </c>
      <c r="H29" s="214">
        <f ca="1" t="shared" si="1"/>
        <v>0</v>
      </c>
      <c r="I29" s="230"/>
      <c r="J29" s="231" t="str">
        <f>B29</f>
        <v>池顶不锈钢护栏</v>
      </c>
      <c r="K29" s="173">
        <f ca="1">G29+G49+G102+G159+G180+G219+G268</f>
        <v>-69.9728</v>
      </c>
      <c r="L29" s="173">
        <f ca="1">H29+H49+H102+H159+H180+H219+H268</f>
        <v>-12.6028</v>
      </c>
    </row>
    <row r="30" s="162" customFormat="1" ht="16.5" customHeight="1" spans="1:12">
      <c r="A30" s="208" t="str">
        <f>工程量计算稿!A33</f>
        <v>新增</v>
      </c>
      <c r="B30" s="209" t="str">
        <f>工程量计算稿!B33</f>
        <v>饮水安全标志牌</v>
      </c>
      <c r="C30" s="210" t="str">
        <f>工程量计算稿!C33</f>
        <v>个</v>
      </c>
      <c r="D30" s="211"/>
      <c r="E30" s="212">
        <f>结算审核明细表!I31</f>
        <v>1</v>
      </c>
      <c r="F30" s="213">
        <f ca="1">工程量计算稿!E33</f>
        <v>1</v>
      </c>
      <c r="G30" s="214">
        <f ca="1" t="shared" si="0"/>
        <v>1</v>
      </c>
      <c r="H30" s="214">
        <f ca="1" t="shared" si="1"/>
        <v>0</v>
      </c>
      <c r="I30" s="230"/>
      <c r="J30" s="231" t="str">
        <f>B30</f>
        <v>饮水安全标志牌</v>
      </c>
      <c r="K30" s="232">
        <f ca="1">G30+G103+G160+G220+G269</f>
        <v>5</v>
      </c>
      <c r="L30" s="173">
        <f ca="1">H30+H103+H160+H220+H269</f>
        <v>0</v>
      </c>
    </row>
    <row r="31" s="163" customFormat="1" ht="16.5" customHeight="1" spans="1:12">
      <c r="A31" s="201" t="str">
        <f>工程量计算稿!A34</f>
        <v>（二）</v>
      </c>
      <c r="B31" s="202" t="str">
        <f>工程量计算稿!B34</f>
        <v>过滤池（集水池工程）</v>
      </c>
      <c r="C31" s="203"/>
      <c r="D31" s="219"/>
      <c r="E31" s="220"/>
      <c r="F31" s="206"/>
      <c r="G31" s="207"/>
      <c r="H31" s="207"/>
      <c r="I31" s="237"/>
      <c r="J31" s="172"/>
      <c r="K31" s="173"/>
      <c r="L31" s="173"/>
    </row>
    <row r="32" s="163" customFormat="1" ht="16.5" customHeight="1" spans="1:12">
      <c r="A32" s="208">
        <f>工程量计算稿!A35</f>
        <v>1</v>
      </c>
      <c r="B32" s="209" t="str">
        <f>工程量计算稿!B35</f>
        <v>土方开挖</v>
      </c>
      <c r="C32" s="210" t="str">
        <f>工程量计算稿!C35</f>
        <v>m3</v>
      </c>
      <c r="D32" s="211"/>
      <c r="E32" s="212">
        <f>结算审核明细表!I33</f>
        <v>2.65</v>
      </c>
      <c r="F32" s="213">
        <f ca="1">工程量计算稿!E35</f>
        <v>2.646</v>
      </c>
      <c r="G32" s="214">
        <f ca="1" t="shared" ref="G32:G41" si="2">F32-D32</f>
        <v>2.646</v>
      </c>
      <c r="H32" s="214">
        <f ca="1" t="shared" ref="H32:H41" si="3">F32-E32</f>
        <v>-0.004</v>
      </c>
      <c r="I32" s="230"/>
      <c r="J32" s="231"/>
      <c r="K32" s="173"/>
      <c r="L32" s="173"/>
    </row>
    <row r="33" s="162" customFormat="1" ht="16.5" customHeight="1" spans="1:12">
      <c r="A33" s="208">
        <f>工程量计算稿!A36</f>
        <v>2</v>
      </c>
      <c r="B33" s="209" t="str">
        <f>工程量计算稿!B36</f>
        <v>C25混凝土底板浇筑</v>
      </c>
      <c r="C33" s="210" t="str">
        <f>工程量计算稿!C36</f>
        <v>m3</v>
      </c>
      <c r="D33" s="211"/>
      <c r="E33" s="212">
        <f>结算审核明细表!I34</f>
        <v>0.34</v>
      </c>
      <c r="F33" s="213">
        <f ca="1">工程量计算稿!E36</f>
        <v>0.34</v>
      </c>
      <c r="G33" s="214">
        <f ca="1" t="shared" si="2"/>
        <v>0.34</v>
      </c>
      <c r="H33" s="214">
        <f ca="1" t="shared" si="3"/>
        <v>0</v>
      </c>
      <c r="I33" s="233" t="s">
        <v>83</v>
      </c>
      <c r="J33" s="231"/>
      <c r="K33" s="173"/>
      <c r="L33" s="173"/>
    </row>
    <row r="34" s="162" customFormat="1" ht="16.5" customHeight="1" spans="1:12">
      <c r="A34" s="208">
        <f>工程量计算稿!A37</f>
        <v>3</v>
      </c>
      <c r="B34" s="209" t="str">
        <f>工程量计算稿!B37</f>
        <v>C25混凝土顶板浇筑</v>
      </c>
      <c r="C34" s="210" t="str">
        <f>工程量计算稿!C37</f>
        <v>m3</v>
      </c>
      <c r="D34" s="211"/>
      <c r="E34" s="212">
        <f>结算审核明细表!I35</f>
        <v>0.34</v>
      </c>
      <c r="F34" s="213">
        <f ca="1">工程量计算稿!E37</f>
        <v>0.034</v>
      </c>
      <c r="G34" s="214">
        <f ca="1" t="shared" si="2"/>
        <v>0.034</v>
      </c>
      <c r="H34" s="214">
        <f ca="1" t="shared" si="3"/>
        <v>-0.306</v>
      </c>
      <c r="I34" s="230"/>
      <c r="J34" s="231"/>
      <c r="K34" s="173"/>
      <c r="L34" s="173"/>
    </row>
    <row r="35" s="162" customFormat="1" ht="16.5" customHeight="1" spans="1:12">
      <c r="A35" s="208">
        <f>工程量计算稿!A38</f>
        <v>4</v>
      </c>
      <c r="B35" s="209" t="str">
        <f>工程量计算稿!B38</f>
        <v>M7.5砖砌</v>
      </c>
      <c r="C35" s="210" t="str">
        <f>工程量计算稿!C38</f>
        <v>m3</v>
      </c>
      <c r="D35" s="211"/>
      <c r="E35" s="212">
        <f>结算审核明细表!I36</f>
        <v>1.78</v>
      </c>
      <c r="F35" s="213">
        <f ca="1">工程量计算稿!E38</f>
        <v>1.5456</v>
      </c>
      <c r="G35" s="214">
        <f ca="1" t="shared" si="2"/>
        <v>1.5456</v>
      </c>
      <c r="H35" s="214">
        <f ca="1" t="shared" si="3"/>
        <v>-0.2344</v>
      </c>
      <c r="I35" s="230"/>
      <c r="J35" s="238"/>
      <c r="K35" s="173"/>
      <c r="L35" s="173"/>
    </row>
    <row r="36" s="162" customFormat="1" ht="16.5" customHeight="1" spans="1:12">
      <c r="A36" s="208">
        <f>工程量计算稿!A39</f>
        <v>5</v>
      </c>
      <c r="B36" s="209" t="str">
        <f>工程量计算稿!B39</f>
        <v>木模制安</v>
      </c>
      <c r="C36" s="210" t="str">
        <f>工程量计算稿!C39</f>
        <v>m2</v>
      </c>
      <c r="D36" s="211"/>
      <c r="E36" s="212">
        <f>结算审核明细表!I37</f>
        <v>2.54</v>
      </c>
      <c r="F36" s="213">
        <f ca="1">工程量计算稿!E39</f>
        <v>2.54</v>
      </c>
      <c r="G36" s="214">
        <f ca="1" t="shared" si="2"/>
        <v>2.54</v>
      </c>
      <c r="H36" s="214">
        <f ca="1" t="shared" si="3"/>
        <v>0</v>
      </c>
      <c r="I36" s="230"/>
      <c r="J36" s="231"/>
      <c r="K36" s="173"/>
      <c r="L36" s="173"/>
    </row>
    <row r="37" s="162" customFormat="1" ht="16.5" customHeight="1" spans="1:12">
      <c r="A37" s="208">
        <f>工程量计算稿!A40</f>
        <v>6</v>
      </c>
      <c r="B37" s="209" t="str">
        <f>工程量计算稿!B40</f>
        <v>钢筋制安</v>
      </c>
      <c r="C37" s="210" t="str">
        <f>工程量计算稿!C40</f>
        <v>kg</v>
      </c>
      <c r="D37" s="211"/>
      <c r="E37" s="218">
        <f>结算审核明细表!I38*1000</f>
        <v>20</v>
      </c>
      <c r="F37" s="213">
        <f ca="1">工程量计算稿!E40</f>
        <v>18.2648</v>
      </c>
      <c r="G37" s="214">
        <f ca="1" t="shared" si="2"/>
        <v>18.2648</v>
      </c>
      <c r="H37" s="214">
        <f ca="1" t="shared" si="3"/>
        <v>-1.7352</v>
      </c>
      <c r="I37" s="230"/>
      <c r="J37" s="231"/>
      <c r="K37" s="173"/>
      <c r="L37" s="173"/>
    </row>
    <row r="38" s="162" customFormat="1" ht="16.5" customHeight="1" spans="1:12">
      <c r="A38" s="208">
        <f>工程量计算稿!A41</f>
        <v>7</v>
      </c>
      <c r="B38" s="209" t="str">
        <f>工程量计算稿!B41</f>
        <v>M10沙浆抹面</v>
      </c>
      <c r="C38" s="210" t="str">
        <f>工程量计算稿!C41</f>
        <v>m2</v>
      </c>
      <c r="D38" s="211"/>
      <c r="E38" s="212">
        <f>结算审核明细表!I39</f>
        <v>7.78</v>
      </c>
      <c r="F38" s="213">
        <f ca="1">工程量计算稿!E41</f>
        <v>7.776</v>
      </c>
      <c r="G38" s="214">
        <f ca="1" t="shared" si="2"/>
        <v>7.776</v>
      </c>
      <c r="H38" s="214">
        <f ca="1" t="shared" si="3"/>
        <v>-0.00400000000000045</v>
      </c>
      <c r="I38" s="230"/>
      <c r="J38" s="238"/>
      <c r="K38" s="173"/>
      <c r="L38" s="173"/>
    </row>
    <row r="39" s="162" customFormat="1" ht="16.5" customHeight="1" spans="1:12">
      <c r="A39" s="208">
        <f>工程量计算稿!A42</f>
        <v>8</v>
      </c>
      <c r="B39" s="209" t="str">
        <f>工程量计算稿!B42</f>
        <v>砂石滤料</v>
      </c>
      <c r="C39" s="210" t="str">
        <f>工程量计算稿!C42</f>
        <v>m3</v>
      </c>
      <c r="D39" s="211"/>
      <c r="E39" s="212">
        <f>结算审核明细表!I40</f>
        <v>1.71</v>
      </c>
      <c r="F39" s="213">
        <f ca="1">工程量计算稿!E42</f>
        <v>1.48352</v>
      </c>
      <c r="G39" s="214">
        <f ca="1" t="shared" si="2"/>
        <v>1.48352</v>
      </c>
      <c r="H39" s="214">
        <f ca="1" t="shared" si="3"/>
        <v>-0.22648</v>
      </c>
      <c r="I39" s="230"/>
      <c r="J39" s="231" t="str">
        <f>B39</f>
        <v>砂石滤料</v>
      </c>
      <c r="K39" s="232">
        <f ca="1">G39+G117+G170+G229</f>
        <v>6.05536</v>
      </c>
      <c r="L39" s="173">
        <f ca="1">H39+H117+H170+H229</f>
        <v>-0.69464</v>
      </c>
    </row>
    <row r="40" s="162" customFormat="1" ht="16.5" customHeight="1" spans="1:12">
      <c r="A40" s="208" t="str">
        <f>工程量计算稿!A43</f>
        <v>新增</v>
      </c>
      <c r="B40" s="209" t="str">
        <f>工程量计算稿!B43</f>
        <v>石方开挖</v>
      </c>
      <c r="C40" s="210" t="str">
        <f>工程量计算稿!C43</f>
        <v>m3</v>
      </c>
      <c r="D40" s="211"/>
      <c r="E40" s="212">
        <f>结算审核明细表!I41</f>
        <v>1.13</v>
      </c>
      <c r="F40" s="213">
        <f ca="1">工程量计算稿!E43</f>
        <v>1.134</v>
      </c>
      <c r="G40" s="214">
        <f ca="1" t="shared" si="2"/>
        <v>1.134</v>
      </c>
      <c r="H40" s="214">
        <f ca="1" t="shared" si="3"/>
        <v>0.00400000000000023</v>
      </c>
      <c r="I40" s="230"/>
      <c r="J40" s="231"/>
      <c r="K40" s="173"/>
      <c r="L40" s="173"/>
    </row>
    <row r="41" s="162" customFormat="1" ht="16.5" customHeight="1" spans="1:12">
      <c r="A41" s="208" t="str">
        <f>工程量计算稿!A44</f>
        <v>新增</v>
      </c>
      <c r="B41" s="209" t="str">
        <f>工程量计算稿!B44</f>
        <v>土石方回填</v>
      </c>
      <c r="C41" s="210" t="str">
        <f>工程量计算稿!C44</f>
        <v>m3</v>
      </c>
      <c r="D41" s="211"/>
      <c r="E41" s="212">
        <f>结算审核明细表!I42</f>
        <v>2.34</v>
      </c>
      <c r="F41" s="213">
        <f ca="1">工程量计算稿!E44</f>
        <v>2.34</v>
      </c>
      <c r="G41" s="214">
        <f ca="1" t="shared" si="2"/>
        <v>2.34</v>
      </c>
      <c r="H41" s="214">
        <f ca="1" t="shared" si="3"/>
        <v>0</v>
      </c>
      <c r="I41" s="230"/>
      <c r="J41" s="231"/>
      <c r="K41" s="173"/>
      <c r="L41" s="173"/>
    </row>
    <row r="42" ht="16.5" customHeight="1" spans="1:9">
      <c r="A42" s="201" t="str">
        <f>工程量计算稿!A45</f>
        <v>（三）</v>
      </c>
      <c r="B42" s="202" t="str">
        <f>工程量计算稿!B45</f>
        <v>5m蓄水池厂区工程（张家湾、长湾）</v>
      </c>
      <c r="C42" s="203"/>
      <c r="D42" s="204"/>
      <c r="E42" s="205"/>
      <c r="F42" s="206"/>
      <c r="G42" s="207"/>
      <c r="H42" s="207"/>
      <c r="I42" s="229"/>
    </row>
    <row r="43" ht="16.5" customHeight="1" spans="1:10">
      <c r="A43" s="208">
        <f>工程量计算稿!A46</f>
        <v>1</v>
      </c>
      <c r="B43" s="209" t="str">
        <f>工程量计算稿!B46</f>
        <v>C25砼厂区硬化</v>
      </c>
      <c r="C43" s="210" t="str">
        <f>工程量计算稿!C46</f>
        <v>m3</v>
      </c>
      <c r="D43" s="211">
        <f>结算审核明细表!D44</f>
        <v>19.32</v>
      </c>
      <c r="E43" s="212">
        <f>结算审核明细表!I44</f>
        <v>0</v>
      </c>
      <c r="F43" s="213">
        <f ca="1">工程量计算稿!E46</f>
        <v>0</v>
      </c>
      <c r="G43" s="214">
        <f ca="1" t="shared" ref="G43:G49" si="4">F43-D43</f>
        <v>-19.32</v>
      </c>
      <c r="H43" s="214">
        <f ca="1" t="shared" ref="H43:H49" si="5">F43-E43</f>
        <v>0</v>
      </c>
      <c r="I43" s="230"/>
      <c r="J43" s="231"/>
    </row>
    <row r="44" ht="16.5" customHeight="1" spans="1:10">
      <c r="A44" s="208">
        <f>工程量计算稿!A47</f>
        <v>2</v>
      </c>
      <c r="B44" s="209" t="str">
        <f>工程量计算稿!B47</f>
        <v>C25圈梁基础</v>
      </c>
      <c r="C44" s="210" t="str">
        <f>工程量计算稿!C47</f>
        <v>m3</v>
      </c>
      <c r="D44" s="211">
        <f>结算审核明细表!D45</f>
        <v>2.1</v>
      </c>
      <c r="E44" s="212">
        <f>结算审核明细表!I45</f>
        <v>0</v>
      </c>
      <c r="F44" s="213">
        <f ca="1">工程量计算稿!E47</f>
        <v>0</v>
      </c>
      <c r="G44" s="214">
        <f ca="1" t="shared" si="4"/>
        <v>-2.1</v>
      </c>
      <c r="H44" s="214">
        <f ca="1" t="shared" si="5"/>
        <v>0</v>
      </c>
      <c r="I44" s="230"/>
      <c r="J44" s="231"/>
    </row>
    <row r="45" ht="16.5" customHeight="1" spans="1:10">
      <c r="A45" s="208">
        <f>工程量计算稿!A48</f>
        <v>3</v>
      </c>
      <c r="B45" s="209" t="str">
        <f>工程量计算稿!B48</f>
        <v>钢筋制安</v>
      </c>
      <c r="C45" s="210" t="str">
        <f>工程量计算稿!C48</f>
        <v>kg</v>
      </c>
      <c r="D45" s="211">
        <f>结算审核明细表!D46</f>
        <v>120</v>
      </c>
      <c r="E45" s="218">
        <f>结算审核明细表!I46*1000</f>
        <v>0</v>
      </c>
      <c r="F45" s="213">
        <f ca="1">工程量计算稿!E48</f>
        <v>0</v>
      </c>
      <c r="G45" s="214">
        <f ca="1" t="shared" si="4"/>
        <v>-120</v>
      </c>
      <c r="H45" s="214">
        <f ca="1" t="shared" si="5"/>
        <v>0</v>
      </c>
      <c r="I45" s="230"/>
      <c r="J45" s="231"/>
    </row>
    <row r="46" ht="16.5" customHeight="1" spans="1:10">
      <c r="A46" s="208">
        <f>工程量计算稿!A49</f>
        <v>4</v>
      </c>
      <c r="B46" s="209" t="str">
        <f>工程量计算稿!B49</f>
        <v>M7.5砖砌围墙</v>
      </c>
      <c r="C46" s="210" t="str">
        <f>工程量计算稿!C49</f>
        <v>m3</v>
      </c>
      <c r="D46" s="211">
        <f>结算审核明细表!D47</f>
        <v>18.94</v>
      </c>
      <c r="E46" s="212">
        <f>结算审核明细表!I47</f>
        <v>0</v>
      </c>
      <c r="F46" s="213">
        <f ca="1">工程量计算稿!E49</f>
        <v>0</v>
      </c>
      <c r="G46" s="214">
        <f ca="1" t="shared" si="4"/>
        <v>-18.94</v>
      </c>
      <c r="H46" s="214">
        <f ca="1" t="shared" si="5"/>
        <v>0</v>
      </c>
      <c r="I46" s="230"/>
      <c r="J46" s="231"/>
    </row>
    <row r="47" ht="16.5" customHeight="1" spans="1:10">
      <c r="A47" s="208">
        <f>工程量计算稿!A50</f>
        <v>5</v>
      </c>
      <c r="B47" s="209" t="str">
        <f>工程量计算稿!B50</f>
        <v>墙面瓷砖粘贴</v>
      </c>
      <c r="C47" s="210" t="str">
        <f>工程量计算稿!C50</f>
        <v>m2</v>
      </c>
      <c r="D47" s="211">
        <f>结算审核明细表!D48</f>
        <v>181.42</v>
      </c>
      <c r="E47" s="212">
        <f>结算审核明细表!I48</f>
        <v>0</v>
      </c>
      <c r="F47" s="213">
        <f ca="1">工程量计算稿!E50</f>
        <v>0</v>
      </c>
      <c r="G47" s="214">
        <f ca="1" t="shared" si="4"/>
        <v>-181.42</v>
      </c>
      <c r="H47" s="214">
        <f ca="1" t="shared" si="5"/>
        <v>0</v>
      </c>
      <c r="I47" s="230"/>
      <c r="J47" s="231"/>
    </row>
    <row r="48" ht="16.5" customHeight="1" spans="1:12">
      <c r="A48" s="208">
        <f>工程量计算稿!A51</f>
        <v>6</v>
      </c>
      <c r="B48" s="209" t="str">
        <f>工程量计算稿!B51</f>
        <v>不锈钢大门</v>
      </c>
      <c r="C48" s="210" t="str">
        <f>工程量计算稿!C51</f>
        <v>m2</v>
      </c>
      <c r="D48" s="211">
        <f>结算审核明细表!D49</f>
        <v>12.5</v>
      </c>
      <c r="E48" s="212">
        <f>结算审核明细表!I49</f>
        <v>0</v>
      </c>
      <c r="F48" s="213">
        <f ca="1">工程量计算稿!E51</f>
        <v>0</v>
      </c>
      <c r="G48" s="214">
        <f ca="1" t="shared" si="4"/>
        <v>-12.5</v>
      </c>
      <c r="H48" s="214">
        <f ca="1" t="shared" si="5"/>
        <v>0</v>
      </c>
      <c r="I48" s="230"/>
      <c r="J48" s="231" t="str">
        <f>B48</f>
        <v>不锈钢大门</v>
      </c>
      <c r="K48" s="173">
        <f ca="1">G48+G179</f>
        <v>-25</v>
      </c>
      <c r="L48" s="173">
        <f ca="1">H48+H179</f>
        <v>0</v>
      </c>
    </row>
    <row r="49" ht="16.5" customHeight="1" spans="1:10">
      <c r="A49" s="208">
        <f>工程量计算稿!A52</f>
        <v>7</v>
      </c>
      <c r="B49" s="209" t="str">
        <f>工程量计算稿!B52</f>
        <v>不锈钢护栏</v>
      </c>
      <c r="C49" s="210" t="str">
        <f>工程量计算稿!C52</f>
        <v>m2</v>
      </c>
      <c r="D49" s="211">
        <f>结算审核明细表!D50</f>
        <v>118.32</v>
      </c>
      <c r="E49" s="212">
        <f>结算审核明细表!I50</f>
        <v>0</v>
      </c>
      <c r="F49" s="213">
        <f ca="1">工程量计算稿!E52</f>
        <v>0</v>
      </c>
      <c r="G49" s="214">
        <f ca="1" t="shared" si="4"/>
        <v>-118.32</v>
      </c>
      <c r="H49" s="214">
        <f ca="1" t="shared" si="5"/>
        <v>0</v>
      </c>
      <c r="I49" s="230"/>
      <c r="J49" s="231"/>
    </row>
    <row r="50" ht="16.5" customHeight="1" spans="1:9">
      <c r="A50" s="201" t="str">
        <f>工程量计算稿!A53</f>
        <v>（四）</v>
      </c>
      <c r="B50" s="202" t="str">
        <f>工程量计算稿!B53</f>
        <v>闸室工程</v>
      </c>
      <c r="C50" s="203" t="str">
        <f>工程量计算稿!C53</f>
        <v>个</v>
      </c>
      <c r="D50" s="204"/>
      <c r="E50" s="205"/>
      <c r="F50" s="206"/>
      <c r="G50" s="207"/>
      <c r="H50" s="207"/>
      <c r="I50" s="229"/>
    </row>
    <row r="51" ht="16.5" customHeight="1" spans="1:10">
      <c r="A51" s="208">
        <f>工程量计算稿!A54</f>
        <v>1</v>
      </c>
      <c r="B51" s="209" t="str">
        <f>工程量计算稿!B54</f>
        <v>土方开挖</v>
      </c>
      <c r="C51" s="210" t="str">
        <f>工程量计算稿!C54</f>
        <v>m3</v>
      </c>
      <c r="D51" s="211">
        <f>结算审核明细表!D52</f>
        <v>33.28</v>
      </c>
      <c r="E51" s="212">
        <f>结算审核明细表!I52</f>
        <v>2.46</v>
      </c>
      <c r="F51" s="213">
        <f ca="1">工程量计算稿!E54</f>
        <v>2.4624</v>
      </c>
      <c r="G51" s="214">
        <f ca="1" t="shared" ref="G51:G59" si="6">F51-D51</f>
        <v>-30.8176</v>
      </c>
      <c r="H51" s="214">
        <f ca="1" t="shared" ref="H51:H59" si="7">F51-E51</f>
        <v>0.00240000000000018</v>
      </c>
      <c r="I51" s="230"/>
      <c r="J51" s="231"/>
    </row>
    <row r="52" ht="16.5" customHeight="1" spans="1:10">
      <c r="A52" s="208">
        <f>工程量计算稿!A55</f>
        <v>2</v>
      </c>
      <c r="B52" s="209" t="str">
        <f>工程量计算稿!B55</f>
        <v>石方开挖</v>
      </c>
      <c r="C52" s="210" t="str">
        <f>工程量计算稿!C55</f>
        <v>m3</v>
      </c>
      <c r="D52" s="211">
        <f>结算审核明细表!D53</f>
        <v>22.16</v>
      </c>
      <c r="E52" s="212">
        <f>结算审核明细表!I53</f>
        <v>1.64</v>
      </c>
      <c r="F52" s="213">
        <f ca="1">工程量计算稿!E55</f>
        <v>1.6416</v>
      </c>
      <c r="G52" s="214">
        <f ca="1" t="shared" si="6"/>
        <v>-20.5184</v>
      </c>
      <c r="H52" s="214">
        <f ca="1" t="shared" si="7"/>
        <v>0.00160000000000027</v>
      </c>
      <c r="I52" s="230"/>
      <c r="J52" s="231"/>
    </row>
    <row r="53" ht="16.5" customHeight="1" spans="1:10">
      <c r="A53" s="208">
        <f>工程量计算稿!A56</f>
        <v>3</v>
      </c>
      <c r="B53" s="209" t="str">
        <f>工程量计算稿!B56</f>
        <v>土石方回填</v>
      </c>
      <c r="C53" s="210" t="str">
        <f>工程量计算稿!C56</f>
        <v>m3</v>
      </c>
      <c r="D53" s="211">
        <f>结算审核明细表!D54</f>
        <v>5.72</v>
      </c>
      <c r="E53" s="212">
        <f>结算审核明细表!I54</f>
        <v>0.77</v>
      </c>
      <c r="F53" s="213">
        <f ca="1">工程量计算稿!E56</f>
        <v>0.77</v>
      </c>
      <c r="G53" s="214">
        <f ca="1" t="shared" si="6"/>
        <v>-4.95</v>
      </c>
      <c r="H53" s="214">
        <f ca="1" t="shared" si="7"/>
        <v>0</v>
      </c>
      <c r="I53" s="230"/>
      <c r="J53" s="231"/>
    </row>
    <row r="54" ht="16.5" customHeight="1" spans="1:10">
      <c r="A54" s="208">
        <f>工程量计算稿!A57</f>
        <v>4</v>
      </c>
      <c r="B54" s="209" t="str">
        <f>工程量计算稿!B57</f>
        <v>C25混凝土底板浇筑</v>
      </c>
      <c r="C54" s="210" t="str">
        <f>工程量计算稿!C57</f>
        <v>m3</v>
      </c>
      <c r="D54" s="211">
        <f>结算审核明细表!D55</f>
        <v>1.48</v>
      </c>
      <c r="E54" s="212">
        <f>结算审核明细表!I55</f>
        <v>0.41</v>
      </c>
      <c r="F54" s="213">
        <f ca="1">工程量计算稿!E57</f>
        <v>0.408</v>
      </c>
      <c r="G54" s="214">
        <f ca="1" t="shared" si="6"/>
        <v>-1.072</v>
      </c>
      <c r="H54" s="214">
        <f ca="1" t="shared" si="7"/>
        <v>-0.00199999999999995</v>
      </c>
      <c r="I54" s="230"/>
      <c r="J54" s="231"/>
    </row>
    <row r="55" ht="16.5" customHeight="1" spans="1:10">
      <c r="A55" s="208">
        <f>工程量计算稿!A58</f>
        <v>5</v>
      </c>
      <c r="B55" s="209" t="str">
        <f>工程量计算稿!B58</f>
        <v>M7.5砖砌围墙</v>
      </c>
      <c r="C55" s="210" t="str">
        <f>工程量计算稿!C58</f>
        <v>m3</v>
      </c>
      <c r="D55" s="211">
        <f>结算审核明细表!D56</f>
        <v>18.32</v>
      </c>
      <c r="E55" s="212">
        <f>结算审核明细表!I56</f>
        <v>1.58</v>
      </c>
      <c r="F55" s="213">
        <f ca="1">工程量计算稿!E58</f>
        <v>1.3536</v>
      </c>
      <c r="G55" s="214">
        <f ca="1" t="shared" si="6"/>
        <v>-16.9664</v>
      </c>
      <c r="H55" s="214">
        <f ca="1" t="shared" si="7"/>
        <v>-0.2264</v>
      </c>
      <c r="I55" s="230"/>
      <c r="J55" s="231"/>
    </row>
    <row r="56" ht="16.5" customHeight="1" spans="1:10">
      <c r="A56" s="208">
        <f>工程量计算稿!A59</f>
        <v>6</v>
      </c>
      <c r="B56" s="209" t="str">
        <f>工程量计算稿!B59</f>
        <v>M10沙浆抹面</v>
      </c>
      <c r="C56" s="210" t="str">
        <f>工程量计算稿!C59</f>
        <v>m2</v>
      </c>
      <c r="D56" s="211">
        <f>结算审核明细表!D57</f>
        <v>76.32</v>
      </c>
      <c r="E56" s="212">
        <f>结算审核明细表!I57</f>
        <v>7.21</v>
      </c>
      <c r="F56" s="213">
        <f ca="1">工程量计算稿!E59</f>
        <v>7.2072</v>
      </c>
      <c r="G56" s="214">
        <f ca="1" t="shared" si="6"/>
        <v>-69.1128</v>
      </c>
      <c r="H56" s="214">
        <f ca="1" t="shared" si="7"/>
        <v>-0.00280000000000058</v>
      </c>
      <c r="I56" s="230"/>
      <c r="J56" s="231"/>
    </row>
    <row r="57" ht="16.5" customHeight="1" spans="1:10">
      <c r="A57" s="208" t="str">
        <f>工程量计算稿!A60</f>
        <v>新增</v>
      </c>
      <c r="B57" s="209" t="str">
        <f>工程量计算稿!B60</f>
        <v>C25混凝土顶板浇筑</v>
      </c>
      <c r="C57" s="210" t="str">
        <f>工程量计算稿!C60</f>
        <v>m3</v>
      </c>
      <c r="D57" s="211"/>
      <c r="E57" s="212">
        <f>结算审核明细表!I58</f>
        <v>0.19</v>
      </c>
      <c r="F57" s="213">
        <f ca="1">工程量计算稿!E60</f>
        <v>0.1496</v>
      </c>
      <c r="G57" s="214">
        <f ca="1" t="shared" si="6"/>
        <v>0.1496</v>
      </c>
      <c r="H57" s="214">
        <f ca="1" t="shared" si="7"/>
        <v>-0.0404</v>
      </c>
      <c r="I57" s="230"/>
      <c r="J57" s="231"/>
    </row>
    <row r="58" ht="16.5" customHeight="1" spans="1:10">
      <c r="A58" s="208" t="str">
        <f>工程量计算稿!A61</f>
        <v>新增</v>
      </c>
      <c r="B58" s="209" t="str">
        <f>工程量计算稿!B61</f>
        <v>木模制安</v>
      </c>
      <c r="C58" s="210" t="str">
        <f>工程量计算稿!C61</f>
        <v>m2</v>
      </c>
      <c r="D58" s="211"/>
      <c r="E58" s="212">
        <f>结算审核明细表!I59</f>
        <v>1.83</v>
      </c>
      <c r="F58" s="213">
        <f ca="1">工程量计算稿!E61</f>
        <v>0.363</v>
      </c>
      <c r="G58" s="214">
        <f ca="1" t="shared" si="6"/>
        <v>0.363</v>
      </c>
      <c r="H58" s="214">
        <f ca="1" t="shared" si="7"/>
        <v>-1.467</v>
      </c>
      <c r="I58" s="230"/>
      <c r="J58" s="231"/>
    </row>
    <row r="59" ht="16.5" customHeight="1" spans="1:10">
      <c r="A59" s="208" t="str">
        <f>工程量计算稿!A62</f>
        <v>新增</v>
      </c>
      <c r="B59" s="209" t="str">
        <f>工程量计算稿!B62</f>
        <v>钢筋制安</v>
      </c>
      <c r="C59" s="210" t="str">
        <f>工程量计算稿!C62</f>
        <v>kg</v>
      </c>
      <c r="D59" s="211"/>
      <c r="E59" s="218">
        <f>结算审核明细表!I60*1000</f>
        <v>30</v>
      </c>
      <c r="F59" s="213">
        <f ca="1">工程量计算稿!E62</f>
        <v>29.2142</v>
      </c>
      <c r="G59" s="214">
        <f ca="1" t="shared" si="6"/>
        <v>29.2142</v>
      </c>
      <c r="H59" s="214">
        <f ca="1" t="shared" si="7"/>
        <v>-0.785800000000002</v>
      </c>
      <c r="I59" s="230"/>
      <c r="J59" s="231"/>
    </row>
    <row r="60" ht="16.5" customHeight="1" spans="1:9">
      <c r="A60" s="201" t="str">
        <f>工程量计算稿!A63</f>
        <v>新增</v>
      </c>
      <c r="B60" s="202" t="str">
        <f>工程量计算稿!B63</f>
        <v>防洪墙及附属工程</v>
      </c>
      <c r="C60" s="203" t="str">
        <f>工程量计算稿!C63</f>
        <v>个</v>
      </c>
      <c r="D60" s="204"/>
      <c r="E60" s="205"/>
      <c r="F60" s="206"/>
      <c r="G60" s="207"/>
      <c r="H60" s="207"/>
      <c r="I60" s="229"/>
    </row>
    <row r="61" ht="16.5" customHeight="1" spans="1:10">
      <c r="A61" s="208">
        <f>工程量计算稿!A64</f>
        <v>1</v>
      </c>
      <c r="B61" s="209" t="str">
        <f>工程量计算稿!B64</f>
        <v>土方开挖</v>
      </c>
      <c r="C61" s="210" t="str">
        <f>工程量计算稿!C64</f>
        <v>m3</v>
      </c>
      <c r="D61" s="211"/>
      <c r="E61" s="212">
        <f>结算审核明细表!I62</f>
        <v>71.55</v>
      </c>
      <c r="F61" s="213">
        <f ca="1">工程量计算稿!E64</f>
        <v>61.23</v>
      </c>
      <c r="G61" s="214">
        <f ca="1" t="shared" ref="G61:G69" si="8">F61-D61</f>
        <v>61.23</v>
      </c>
      <c r="H61" s="214">
        <f ca="1" t="shared" ref="H61:H69" si="9">F61-E61</f>
        <v>-10.32</v>
      </c>
      <c r="I61" s="230"/>
      <c r="J61" s="231"/>
    </row>
    <row r="62" ht="16.5" customHeight="1" spans="1:10">
      <c r="A62" s="208">
        <f>工程量计算稿!A65</f>
        <v>2</v>
      </c>
      <c r="B62" s="209" t="str">
        <f>工程量计算稿!B65</f>
        <v>C20砼墙</v>
      </c>
      <c r="C62" s="210" t="str">
        <f>工程量计算稿!C65</f>
        <v>m3</v>
      </c>
      <c r="D62" s="211"/>
      <c r="E62" s="212">
        <f>结算审核明细表!I63</f>
        <v>21.12</v>
      </c>
      <c r="F62" s="213">
        <f ca="1">工程量计算稿!E65</f>
        <v>16.27973725</v>
      </c>
      <c r="G62" s="214">
        <f ca="1" t="shared" si="8"/>
        <v>16.27973725</v>
      </c>
      <c r="H62" s="214">
        <f ca="1" t="shared" si="9"/>
        <v>-4.84026275</v>
      </c>
      <c r="I62" s="230"/>
      <c r="J62" s="231"/>
    </row>
    <row r="63" ht="16.5" customHeight="1" spans="1:12">
      <c r="A63" s="208">
        <f>工程量计算稿!A68</f>
        <v>3</v>
      </c>
      <c r="B63" s="209" t="str">
        <f>工程量计算稿!B68</f>
        <v>人工干砌块石</v>
      </c>
      <c r="C63" s="210" t="str">
        <f>工程量计算稿!C68</f>
        <v>m3</v>
      </c>
      <c r="D63" s="211"/>
      <c r="E63" s="212">
        <f>结算审核明细表!I64</f>
        <v>8.83</v>
      </c>
      <c r="F63" s="213">
        <f ca="1">工程量计算稿!E68</f>
        <v>8.0896</v>
      </c>
      <c r="G63" s="214">
        <f ca="1" t="shared" si="8"/>
        <v>8.0896</v>
      </c>
      <c r="H63" s="214">
        <f ca="1" t="shared" si="9"/>
        <v>-0.740399999999999</v>
      </c>
      <c r="I63" s="230"/>
      <c r="J63" s="231" t="str">
        <f>B63</f>
        <v>人工干砌块石</v>
      </c>
      <c r="K63" s="232">
        <f ca="1">G63+G161</f>
        <v>20.5051</v>
      </c>
      <c r="L63" s="173">
        <f ca="1">H63+H161</f>
        <v>-0.834899999999999</v>
      </c>
    </row>
    <row r="64" ht="16.5" customHeight="1" spans="1:10">
      <c r="A64" s="208">
        <f>工程量计算稿!A69</f>
        <v>4</v>
      </c>
      <c r="B64" s="209" t="str">
        <f>工程量计算稿!B69</f>
        <v>M7.5页岩砖砖堡坎</v>
      </c>
      <c r="C64" s="210" t="str">
        <f>工程量计算稿!C69</f>
        <v>m3</v>
      </c>
      <c r="D64" s="211"/>
      <c r="E64" s="212">
        <f>结算审核明细表!I65</f>
        <v>1.99</v>
      </c>
      <c r="F64" s="213">
        <f ca="1">工程量计算稿!E69</f>
        <v>1.21344</v>
      </c>
      <c r="G64" s="214">
        <f ca="1" t="shared" si="8"/>
        <v>1.21344</v>
      </c>
      <c r="H64" s="214">
        <f ca="1" t="shared" si="9"/>
        <v>-0.77656</v>
      </c>
      <c r="I64" s="230"/>
      <c r="J64" s="231"/>
    </row>
    <row r="65" ht="16.5" customHeight="1" spans="1:10">
      <c r="A65" s="208">
        <f>工程量计算稿!A70</f>
        <v>5</v>
      </c>
      <c r="B65" s="209" t="str">
        <f>工程量计算稿!B70</f>
        <v>M10沙浆抹面</v>
      </c>
      <c r="C65" s="210" t="str">
        <f>工程量计算稿!C70</f>
        <v>m2</v>
      </c>
      <c r="D65" s="211"/>
      <c r="E65" s="212">
        <f>结算审核明细表!I66</f>
        <v>10.52</v>
      </c>
      <c r="F65" s="213">
        <f ca="1">工程量计算稿!E70</f>
        <v>9.638</v>
      </c>
      <c r="G65" s="214">
        <f ca="1" t="shared" si="8"/>
        <v>9.638</v>
      </c>
      <c r="H65" s="214">
        <f ca="1" t="shared" si="9"/>
        <v>-0.882000000000001</v>
      </c>
      <c r="I65" s="230"/>
      <c r="J65" s="231"/>
    </row>
    <row r="66" ht="16.5" customHeight="1" spans="1:10">
      <c r="A66" s="208">
        <f>工程量计算稿!A71</f>
        <v>6</v>
      </c>
      <c r="B66" s="209" t="str">
        <f>工程量计算稿!B71</f>
        <v>土石方回填</v>
      </c>
      <c r="C66" s="210" t="str">
        <f>工程量计算稿!C71</f>
        <v>m3</v>
      </c>
      <c r="D66" s="211"/>
      <c r="E66" s="212">
        <f>结算审核明细表!I67</f>
        <v>75.6</v>
      </c>
      <c r="F66" s="213">
        <f ca="1">工程量计算稿!E71</f>
        <v>72.63</v>
      </c>
      <c r="G66" s="214">
        <f ca="1" t="shared" si="8"/>
        <v>72.63</v>
      </c>
      <c r="H66" s="214">
        <f ca="1" t="shared" si="9"/>
        <v>-2.97</v>
      </c>
      <c r="I66" s="230"/>
      <c r="J66" s="231"/>
    </row>
    <row r="67" s="164" customFormat="1" ht="16.5" customHeight="1" spans="1:12">
      <c r="A67" s="208">
        <f>工程量计算稿!A72</f>
        <v>7</v>
      </c>
      <c r="B67" s="209" t="str">
        <f>工程量计算稿!B72</f>
        <v>C20梯步</v>
      </c>
      <c r="C67" s="210" t="str">
        <f>工程量计算稿!C72</f>
        <v>m3</v>
      </c>
      <c r="D67" s="211"/>
      <c r="E67" s="212">
        <f>结算审核明细表!I68</f>
        <v>2.41</v>
      </c>
      <c r="F67" s="213">
        <f ca="1">工程量计算稿!E72</f>
        <v>1.78275</v>
      </c>
      <c r="G67" s="214">
        <f ca="1" t="shared" si="8"/>
        <v>1.78275</v>
      </c>
      <c r="H67" s="214">
        <f ca="1" t="shared" si="9"/>
        <v>-0.62725</v>
      </c>
      <c r="I67" s="230"/>
      <c r="J67" s="231"/>
      <c r="K67" s="173"/>
      <c r="L67" s="173"/>
    </row>
    <row r="68" ht="16.5" customHeight="1" spans="1:10">
      <c r="A68" s="208">
        <f>工程量计算稿!A76</f>
        <v>8</v>
      </c>
      <c r="B68" s="209" t="str">
        <f>工程量计算稿!B76</f>
        <v>C20砼地面</v>
      </c>
      <c r="C68" s="210" t="str">
        <f>工程量计算稿!C76</f>
        <v>m3</v>
      </c>
      <c r="D68" s="211"/>
      <c r="E68" s="212">
        <f>结算审核明细表!I69</f>
        <v>1.12</v>
      </c>
      <c r="F68" s="213">
        <f ca="1">工程量计算稿!E76</f>
        <v>1.119</v>
      </c>
      <c r="G68" s="214">
        <f ca="1" t="shared" si="8"/>
        <v>1.119</v>
      </c>
      <c r="H68" s="214">
        <f ca="1" t="shared" si="9"/>
        <v>-0.00099999999999989</v>
      </c>
      <c r="I68" s="230"/>
      <c r="J68" s="231"/>
    </row>
    <row r="69" ht="16.5" customHeight="1" spans="1:10">
      <c r="A69" s="208">
        <f>工程量计算稿!A77</f>
        <v>9</v>
      </c>
      <c r="B69" s="209" t="str">
        <f>工程量计算稿!B77</f>
        <v>木模制安</v>
      </c>
      <c r="C69" s="210" t="str">
        <f>工程量计算稿!C77</f>
        <v>m2</v>
      </c>
      <c r="D69" s="211"/>
      <c r="E69" s="212">
        <f>结算审核明细表!I70</f>
        <v>51.8</v>
      </c>
      <c r="F69" s="213">
        <f ca="1">工程量计算稿!E77</f>
        <v>42.0239</v>
      </c>
      <c r="G69" s="214">
        <f ca="1" t="shared" si="8"/>
        <v>42.0239</v>
      </c>
      <c r="H69" s="214">
        <f ca="1" t="shared" si="9"/>
        <v>-9.77610000000001</v>
      </c>
      <c r="I69" s="230"/>
      <c r="J69" s="231"/>
    </row>
    <row r="70" ht="16.5" customHeight="1" spans="1:9">
      <c r="A70" s="201" t="str">
        <f>工程量计算稿!A78</f>
        <v>（六）</v>
      </c>
      <c r="B70" s="202" t="str">
        <f>工程量计算稿!B78</f>
        <v>建筑材料人力二次运输</v>
      </c>
      <c r="C70" s="203" t="str">
        <f>工程量计算稿!C78</f>
        <v/>
      </c>
      <c r="D70" s="204"/>
      <c r="E70" s="205"/>
      <c r="F70" s="206"/>
      <c r="G70" s="207"/>
      <c r="H70" s="207"/>
      <c r="I70" s="229"/>
    </row>
    <row r="71" ht="16.5" customHeight="1" spans="1:9">
      <c r="A71" s="208">
        <f>工程量计算稿!A79</f>
        <v>1</v>
      </c>
      <c r="B71" s="209" t="str">
        <f>工程量计算稿!B79</f>
        <v>人力二次转运材料100米</v>
      </c>
      <c r="C71" s="210" t="str">
        <f>工程量计算稿!C79</f>
        <v>t</v>
      </c>
      <c r="D71" s="211">
        <f>结算审核明细表!D72</f>
        <v>0</v>
      </c>
      <c r="E71" s="212">
        <f>结算审核明细表!I72</f>
        <v>0</v>
      </c>
      <c r="F71" s="213">
        <f>工程量计算稿!E79</f>
        <v>0</v>
      </c>
      <c r="G71" s="214">
        <f t="shared" ref="G26:G78" si="10">F71-D71</f>
        <v>0</v>
      </c>
      <c r="H71" s="214">
        <f t="shared" ref="H26:H78" si="11">F71-E71</f>
        <v>0</v>
      </c>
      <c r="I71" s="230"/>
    </row>
    <row r="72" ht="16.5" customHeight="1" spans="1:9">
      <c r="A72" s="208">
        <f>工程量计算稿!A80</f>
        <v>2</v>
      </c>
      <c r="B72" s="209" t="str">
        <f>工程量计算稿!B80</f>
        <v>水泥</v>
      </c>
      <c r="C72" s="210" t="str">
        <f>工程量计算稿!C80</f>
        <v>t</v>
      </c>
      <c r="D72" s="211"/>
      <c r="E72" s="212">
        <f>结算审核明细表!I73</f>
        <v>31.66</v>
      </c>
      <c r="F72" s="213">
        <f ca="1">工程量计算稿!E80</f>
        <v>17.6195480710413</v>
      </c>
      <c r="G72" s="214">
        <f ca="1" t="shared" si="10"/>
        <v>17.6195480710413</v>
      </c>
      <c r="H72" s="214">
        <f ca="1" t="shared" si="11"/>
        <v>-14.0404519289587</v>
      </c>
      <c r="I72" s="230"/>
    </row>
    <row r="73" ht="16.5" customHeight="1" spans="1:9">
      <c r="A73" s="208">
        <f>工程量计算稿!A81</f>
        <v>3</v>
      </c>
      <c r="B73" s="209" t="str">
        <f>工程量计算稿!B81</f>
        <v>砂</v>
      </c>
      <c r="C73" s="210" t="str">
        <f>工程量计算稿!C81</f>
        <v>m3</v>
      </c>
      <c r="D73" s="211"/>
      <c r="E73" s="212">
        <f>结算审核明细表!I74</f>
        <v>30.44</v>
      </c>
      <c r="F73" s="213">
        <f ca="1">工程量计算稿!E81</f>
        <v>26.6047188893</v>
      </c>
      <c r="G73" s="214">
        <f ca="1" t="shared" si="10"/>
        <v>26.6047188893</v>
      </c>
      <c r="H73" s="214">
        <f ca="1" t="shared" si="11"/>
        <v>-3.8352811107</v>
      </c>
      <c r="I73" s="230"/>
    </row>
    <row r="74" ht="16.5" customHeight="1" spans="1:9">
      <c r="A74" s="208">
        <f>工程量计算稿!A82</f>
        <v>4</v>
      </c>
      <c r="B74" s="209" t="str">
        <f>工程量计算稿!B82</f>
        <v>碎石</v>
      </c>
      <c r="C74" s="210" t="str">
        <f>工程量计算稿!C82</f>
        <v>m3</v>
      </c>
      <c r="D74" s="211"/>
      <c r="E74" s="212">
        <f>结算审核明细表!I75</f>
        <v>44.65</v>
      </c>
      <c r="F74" s="213">
        <f ca="1">工程量计算稿!E82</f>
        <v>42.05805632505</v>
      </c>
      <c r="G74" s="214">
        <f ca="1" t="shared" si="10"/>
        <v>42.05805632505</v>
      </c>
      <c r="H74" s="214">
        <f ca="1" t="shared" si="11"/>
        <v>-2.59194367494999</v>
      </c>
      <c r="I74" s="230"/>
    </row>
    <row r="75" ht="16.5" customHeight="1" spans="1:9">
      <c r="A75" s="208">
        <f>工程量计算稿!A83</f>
        <v>5</v>
      </c>
      <c r="B75" s="209" t="str">
        <f>工程量计算稿!B83</f>
        <v>页岩砖</v>
      </c>
      <c r="C75" s="210" t="str">
        <f>工程量计算稿!C83</f>
        <v>千匹</v>
      </c>
      <c r="D75" s="211"/>
      <c r="E75" s="212">
        <f>结算审核明细表!I76</f>
        <v>5.35</v>
      </c>
      <c r="F75" s="213">
        <f ca="1">工程量计算稿!E83</f>
        <v>2.19614976</v>
      </c>
      <c r="G75" s="214">
        <f ca="1" t="shared" si="10"/>
        <v>2.19614976</v>
      </c>
      <c r="H75" s="214">
        <f ca="1" t="shared" si="11"/>
        <v>-3.15385024</v>
      </c>
      <c r="I75" s="230"/>
    </row>
    <row r="76" ht="16.5" customHeight="1" spans="1:9">
      <c r="A76" s="208">
        <f>工程量计算稿!A84</f>
        <v>6</v>
      </c>
      <c r="B76" s="209" t="str">
        <f>工程量计算稿!B84</f>
        <v>钢筋</v>
      </c>
      <c r="C76" s="210" t="str">
        <f>工程量计算稿!C84</f>
        <v>t</v>
      </c>
      <c r="D76" s="211"/>
      <c r="E76" s="212">
        <f>结算审核明细表!I77</f>
        <v>1.7</v>
      </c>
      <c r="F76" s="213">
        <f ca="1">工程量计算稿!E84</f>
        <v>1.45502312</v>
      </c>
      <c r="G76" s="214">
        <f ca="1" t="shared" si="10"/>
        <v>1.45502312</v>
      </c>
      <c r="H76" s="214">
        <f ca="1" t="shared" si="11"/>
        <v>-0.24497688</v>
      </c>
      <c r="I76" s="230"/>
    </row>
    <row r="77" ht="16.5" customHeight="1" spans="1:9">
      <c r="A77" s="189" t="str">
        <f>工程量计算稿!A85</f>
        <v>二</v>
      </c>
      <c r="B77" s="195" t="str">
        <f>工程量计算稿!B85</f>
        <v>长湾供水工程</v>
      </c>
      <c r="C77" s="196" t="str">
        <f>工程量计算稿!C85</f>
        <v/>
      </c>
      <c r="D77" s="197"/>
      <c r="E77" s="198"/>
      <c r="F77" s="199"/>
      <c r="G77" s="200"/>
      <c r="H77" s="200"/>
      <c r="I77" s="228"/>
    </row>
    <row r="78" ht="16.5" customHeight="1" spans="1:9">
      <c r="A78" s="201" t="str">
        <f>工程量计算稿!A86</f>
        <v>（一）</v>
      </c>
      <c r="B78" s="202" t="str">
        <f>工程量计算稿!B86</f>
        <v>蓄水池工程</v>
      </c>
      <c r="C78" s="203" t="str">
        <f>工程量计算稿!C86</f>
        <v/>
      </c>
      <c r="D78" s="204"/>
      <c r="E78" s="205"/>
      <c r="F78" s="206"/>
      <c r="G78" s="207"/>
      <c r="H78" s="207"/>
      <c r="I78" s="229"/>
    </row>
    <row r="79" s="164" customFormat="1" ht="16.5" customHeight="1" spans="1:12">
      <c r="A79" s="201" t="str">
        <f>工程量计算稿!A87</f>
        <v>A</v>
      </c>
      <c r="B79" s="202" t="str">
        <f>工程量计算稿!B87</f>
        <v>主体工程</v>
      </c>
      <c r="C79" s="203" t="str">
        <f>工程量计算稿!C87</f>
        <v/>
      </c>
      <c r="D79" s="204"/>
      <c r="E79" s="205"/>
      <c r="F79" s="206"/>
      <c r="G79" s="207"/>
      <c r="H79" s="207"/>
      <c r="I79" s="229"/>
      <c r="J79" s="172"/>
      <c r="K79" s="173"/>
      <c r="L79" s="173"/>
    </row>
    <row r="80" ht="16.5" customHeight="1" spans="1:10">
      <c r="A80" s="208">
        <f>工程量计算稿!A88</f>
        <v>1</v>
      </c>
      <c r="B80" s="209" t="str">
        <f>工程量计算稿!B88</f>
        <v>土方开挖</v>
      </c>
      <c r="C80" s="210" t="str">
        <f>工程量计算稿!C88</f>
        <v>m3</v>
      </c>
      <c r="D80" s="211"/>
      <c r="E80" s="212">
        <f>结算审核明细表!I81</f>
        <v>78.15</v>
      </c>
      <c r="F80" s="213">
        <f ca="1">工程量计算稿!E88</f>
        <v>58.12224</v>
      </c>
      <c r="G80" s="214">
        <f ca="1" t="shared" ref="G80:G103" si="12">F80-D80</f>
        <v>58.12224</v>
      </c>
      <c r="H80" s="214">
        <f ca="1" t="shared" ref="H80:H103" si="13">F80-E80</f>
        <v>-20.02776</v>
      </c>
      <c r="I80" s="230"/>
      <c r="J80" s="231"/>
    </row>
    <row r="81" ht="16.5" customHeight="1" spans="1:10">
      <c r="A81" s="208">
        <f>工程量计算稿!A89</f>
        <v>2</v>
      </c>
      <c r="B81" s="209" t="str">
        <f>工程量计算稿!B89</f>
        <v>石方开挖</v>
      </c>
      <c r="C81" s="210" t="str">
        <f>工程量计算稿!C89</f>
        <v>m3</v>
      </c>
      <c r="D81" s="211"/>
      <c r="E81" s="212">
        <f>结算审核明细表!I82</f>
        <v>52.1</v>
      </c>
      <c r="F81" s="213">
        <f ca="1">工程量计算稿!E89</f>
        <v>38.74816</v>
      </c>
      <c r="G81" s="214">
        <f ca="1" t="shared" si="12"/>
        <v>38.74816</v>
      </c>
      <c r="H81" s="214">
        <f ca="1" t="shared" si="13"/>
        <v>-13.35184</v>
      </c>
      <c r="I81" s="230"/>
      <c r="J81" s="231"/>
    </row>
    <row r="82" ht="16.5" customHeight="1" spans="1:10">
      <c r="A82" s="208">
        <f>工程量计算稿!A90</f>
        <v>3</v>
      </c>
      <c r="B82" s="209" t="str">
        <f>工程量计算稿!B90</f>
        <v>土石方回填</v>
      </c>
      <c r="C82" s="210" t="str">
        <f>工程量计算稿!C90</f>
        <v>m3</v>
      </c>
      <c r="D82" s="211"/>
      <c r="E82" s="212">
        <f>结算审核明细表!I83</f>
        <v>39.15</v>
      </c>
      <c r="F82" s="213">
        <f ca="1">工程量计算稿!E90</f>
        <v>38.79</v>
      </c>
      <c r="G82" s="214">
        <f ca="1" t="shared" si="12"/>
        <v>38.79</v>
      </c>
      <c r="H82" s="214">
        <f ca="1" t="shared" si="13"/>
        <v>-0.359999999999992</v>
      </c>
      <c r="I82" s="234"/>
      <c r="J82" s="231"/>
    </row>
    <row r="83" ht="16.5" customHeight="1" spans="1:10">
      <c r="A83" s="215">
        <f>工程量计算稿!A91</f>
        <v>4</v>
      </c>
      <c r="B83" s="209" t="str">
        <f>工程量计算稿!B91</f>
        <v>C25砼 2级配 32.5水泥 粒径40mm（底板）</v>
      </c>
      <c r="C83" s="210" t="str">
        <f>工程量计算稿!C91</f>
        <v>m3</v>
      </c>
      <c r="D83" s="211">
        <f>结算审核明细表!D84</f>
        <v>0</v>
      </c>
      <c r="E83" s="212">
        <f>结算审核明细表!I84</f>
        <v>4.62</v>
      </c>
      <c r="F83" s="213">
        <f ca="1">工程量计算稿!E91</f>
        <v>3.0452</v>
      </c>
      <c r="G83" s="214">
        <f ca="1" t="shared" si="12"/>
        <v>3.0452</v>
      </c>
      <c r="H83" s="214">
        <f ca="1" t="shared" si="13"/>
        <v>-1.5748</v>
      </c>
      <c r="I83" s="230"/>
      <c r="J83" s="231"/>
    </row>
    <row r="84" ht="16.5" customHeight="1" spans="1:10">
      <c r="A84" s="216"/>
      <c r="B84" s="209" t="str">
        <f>工程量计算稿!B92</f>
        <v>C25砼 2级配 32.5水泥 粒径40mm（顶板）</v>
      </c>
      <c r="C84" s="210" t="str">
        <f>工程量计算稿!C92</f>
        <v>m3</v>
      </c>
      <c r="D84" s="211">
        <f>结算审核明细表!D85</f>
        <v>0</v>
      </c>
      <c r="E84" s="212">
        <f>结算审核明细表!I85</f>
        <v>3.43</v>
      </c>
      <c r="F84" s="213">
        <f ca="1">工程量计算稿!E92</f>
        <v>3.140928</v>
      </c>
      <c r="G84" s="214">
        <f ca="1" t="shared" si="12"/>
        <v>3.140928</v>
      </c>
      <c r="H84" s="214">
        <f ca="1" t="shared" si="13"/>
        <v>-0.289072</v>
      </c>
      <c r="I84" s="234"/>
      <c r="J84" s="231"/>
    </row>
    <row r="85" ht="16.5" customHeight="1" spans="1:10">
      <c r="A85" s="216"/>
      <c r="B85" s="209" t="str">
        <f>工程量计算稿!B93</f>
        <v>C25砼 2级配 32.5水泥 粒径40mm（梁）</v>
      </c>
      <c r="C85" s="210" t="str">
        <f>工程量计算稿!C93</f>
        <v>m3</v>
      </c>
      <c r="D85" s="211"/>
      <c r="E85" s="212">
        <f>结算审核明细表!I86</f>
        <v>0.4</v>
      </c>
      <c r="F85" s="213">
        <f ca="1">工程量计算稿!E93</f>
        <v>0.396</v>
      </c>
      <c r="G85" s="214">
        <f ca="1" t="shared" si="12"/>
        <v>0.396</v>
      </c>
      <c r="H85" s="214">
        <f ca="1" t="shared" si="13"/>
        <v>-0.004</v>
      </c>
      <c r="I85" s="234"/>
      <c r="J85" s="231"/>
    </row>
    <row r="86" ht="16.5" customHeight="1" spans="1:10">
      <c r="A86" s="217"/>
      <c r="B86" s="209" t="str">
        <f>工程量计算稿!B94</f>
        <v>C25砼 2级配 32.5水泥 粒径40mm（侧墙）</v>
      </c>
      <c r="C86" s="210" t="str">
        <f>工程量计算稿!C94</f>
        <v>m3</v>
      </c>
      <c r="D86" s="211"/>
      <c r="E86" s="212">
        <f>结算审核明细表!I87</f>
        <v>15.84</v>
      </c>
      <c r="F86" s="213">
        <f ca="1">工程量计算稿!E94</f>
        <v>15.485184</v>
      </c>
      <c r="G86" s="214">
        <f ca="1" t="shared" si="12"/>
        <v>15.485184</v>
      </c>
      <c r="H86" s="214">
        <f ca="1" t="shared" si="13"/>
        <v>-0.354816</v>
      </c>
      <c r="I86" s="235" t="s">
        <v>86</v>
      </c>
      <c r="J86" s="231"/>
    </row>
    <row r="87" ht="16.5" customHeight="1" spans="1:10">
      <c r="A87" s="208">
        <f>工程量计算稿!A95</f>
        <v>5</v>
      </c>
      <c r="B87" s="209" t="str">
        <f>工程量计算稿!B95</f>
        <v>M7.5砖砌</v>
      </c>
      <c r="C87" s="210" t="str">
        <f>工程量计算稿!C95</f>
        <v>m3</v>
      </c>
      <c r="D87" s="211"/>
      <c r="E87" s="212">
        <f>结算审核明细表!I88</f>
        <v>0</v>
      </c>
      <c r="F87" s="213">
        <f ca="1">工程量计算稿!E95</f>
        <v>0</v>
      </c>
      <c r="G87" s="214">
        <f ca="1" t="shared" si="12"/>
        <v>0</v>
      </c>
      <c r="H87" s="214">
        <f ca="1" t="shared" si="13"/>
        <v>0</v>
      </c>
      <c r="I87" s="236"/>
      <c r="J87" s="231"/>
    </row>
    <row r="88" ht="16.5" customHeight="1" spans="1:10">
      <c r="A88" s="208">
        <f>工程量计算稿!A96</f>
        <v>6</v>
      </c>
      <c r="B88" s="209" t="str">
        <f>工程量计算稿!B96</f>
        <v>木模制安</v>
      </c>
      <c r="C88" s="210" t="str">
        <f>工程量计算稿!C96</f>
        <v>m2</v>
      </c>
      <c r="D88" s="211"/>
      <c r="E88" s="212">
        <f>结算审核明细表!I89</f>
        <v>160.13</v>
      </c>
      <c r="F88" s="213">
        <f ca="1">工程量计算稿!E96</f>
        <v>155.4912</v>
      </c>
      <c r="G88" s="214">
        <f ca="1" t="shared" si="12"/>
        <v>155.4912</v>
      </c>
      <c r="H88" s="214">
        <f ca="1" t="shared" si="13"/>
        <v>-4.6388</v>
      </c>
      <c r="I88" s="234"/>
      <c r="J88" s="231"/>
    </row>
    <row r="89" ht="16.5" customHeight="1" spans="1:10">
      <c r="A89" s="208">
        <f>工程量计算稿!A97</f>
        <v>7</v>
      </c>
      <c r="B89" s="209" t="str">
        <f>工程量计算稿!B97</f>
        <v>钢筋制安</v>
      </c>
      <c r="C89" s="210" t="str">
        <f>工程量计算稿!C97</f>
        <v>kg</v>
      </c>
      <c r="D89" s="211"/>
      <c r="E89" s="218">
        <f>结算审核明细表!I90*1000</f>
        <v>1570</v>
      </c>
      <c r="F89" s="213">
        <f ca="1">工程量计算稿!E97</f>
        <v>1263.1798</v>
      </c>
      <c r="G89" s="214">
        <f ca="1" t="shared" si="12"/>
        <v>1263.1798</v>
      </c>
      <c r="H89" s="214">
        <f ca="1" t="shared" si="13"/>
        <v>-306.8202</v>
      </c>
      <c r="I89" s="230"/>
      <c r="J89" s="231"/>
    </row>
    <row r="90" ht="16.5" customHeight="1" spans="1:10">
      <c r="A90" s="208">
        <f>工程量计算稿!A102</f>
        <v>8</v>
      </c>
      <c r="B90" s="209" t="str">
        <f>工程量计算稿!B102</f>
        <v>M10沙浆抹面</v>
      </c>
      <c r="C90" s="210" t="str">
        <f>工程量计算稿!C102</f>
        <v>m2</v>
      </c>
      <c r="D90" s="211"/>
      <c r="E90" s="212">
        <f>结算审核明细表!I91</f>
        <v>85.88</v>
      </c>
      <c r="F90" s="213">
        <f ca="1">工程量计算稿!E102</f>
        <v>0</v>
      </c>
      <c r="G90" s="214">
        <f ca="1" t="shared" si="12"/>
        <v>0</v>
      </c>
      <c r="H90" s="214">
        <f ca="1" t="shared" si="13"/>
        <v>-85.88</v>
      </c>
      <c r="I90" s="234"/>
      <c r="J90" s="231"/>
    </row>
    <row r="91" ht="16.5" customHeight="1" spans="1:10">
      <c r="A91" s="208">
        <f>工程量计算稿!A103</f>
        <v>9</v>
      </c>
      <c r="B91" s="209" t="str">
        <f>工程量计算稿!B103</f>
        <v>M10沙浆抹面瓷砖粘贴</v>
      </c>
      <c r="C91" s="210" t="str">
        <f>工程量计算稿!C103</f>
        <v>m2</v>
      </c>
      <c r="D91" s="211"/>
      <c r="E91" s="212">
        <f>结算审核明细表!I92</f>
        <v>17.1</v>
      </c>
      <c r="F91" s="213">
        <f ca="1">工程量计算稿!E103</f>
        <v>14.608</v>
      </c>
      <c r="G91" s="214">
        <f ca="1" t="shared" si="12"/>
        <v>14.608</v>
      </c>
      <c r="H91" s="214">
        <f ca="1" t="shared" si="13"/>
        <v>-2.492</v>
      </c>
      <c r="I91" s="230"/>
      <c r="J91" s="231"/>
    </row>
    <row r="92" ht="16.5" customHeight="1" spans="1:9">
      <c r="A92" s="208">
        <f>工程量计算稿!A104</f>
        <v>10</v>
      </c>
      <c r="B92" s="209" t="str">
        <f>工程量计算稿!B104</f>
        <v>人力二次转运材料（运距300米)</v>
      </c>
      <c r="C92" s="210" t="str">
        <f>工程量计算稿!C104</f>
        <v>吨/km</v>
      </c>
      <c r="D92" s="211"/>
      <c r="E92" s="212"/>
      <c r="F92" s="213">
        <f ca="1">工程量计算稿!E104</f>
        <v>0</v>
      </c>
      <c r="G92" s="214">
        <f ca="1" t="shared" si="12"/>
        <v>0</v>
      </c>
      <c r="H92" s="214">
        <f ca="1" t="shared" si="13"/>
        <v>0</v>
      </c>
      <c r="I92" s="230"/>
    </row>
    <row r="93" ht="16.5" customHeight="1" spans="1:10">
      <c r="A93" s="208">
        <f>工程量计算稿!A105</f>
        <v>11</v>
      </c>
      <c r="B93" s="209" t="str">
        <f>工程量计算稿!B105</f>
        <v>通气进人孔</v>
      </c>
      <c r="C93" s="210" t="str">
        <f>工程量计算稿!C105</f>
        <v>套</v>
      </c>
      <c r="D93" s="211"/>
      <c r="E93" s="212">
        <f>结算审核明细表!I94</f>
        <v>1</v>
      </c>
      <c r="F93" s="213">
        <f ca="1">工程量计算稿!E105</f>
        <v>1</v>
      </c>
      <c r="G93" s="214">
        <f ca="1" t="shared" si="12"/>
        <v>1</v>
      </c>
      <c r="H93" s="214">
        <f ca="1" t="shared" si="13"/>
        <v>0</v>
      </c>
      <c r="I93" s="230"/>
      <c r="J93" s="231"/>
    </row>
    <row r="94" ht="16.5" customHeight="1" spans="1:10">
      <c r="A94" s="208">
        <f>工程量计算稿!A106</f>
        <v>12</v>
      </c>
      <c r="B94" s="209" t="str">
        <f>工程量计算稿!B106</f>
        <v>电力线</v>
      </c>
      <c r="C94" s="210" t="str">
        <f>工程量计算稿!C106</f>
        <v>m</v>
      </c>
      <c r="D94" s="211"/>
      <c r="E94" s="212"/>
      <c r="F94" s="213">
        <f ca="1">工程量计算稿!E106</f>
        <v>100</v>
      </c>
      <c r="G94" s="214">
        <f ca="1" t="shared" si="12"/>
        <v>100</v>
      </c>
      <c r="H94" s="214">
        <f ca="1" t="shared" si="13"/>
        <v>100</v>
      </c>
      <c r="I94" s="230"/>
      <c r="J94" s="231"/>
    </row>
    <row r="95" ht="16.5" customHeight="1" spans="1:10">
      <c r="A95" s="208">
        <f>工程量计算稿!A107</f>
        <v>13</v>
      </c>
      <c r="B95" s="209" t="str">
        <f>工程量计算稿!B107</f>
        <v>杀毒器</v>
      </c>
      <c r="C95" s="210" t="str">
        <f>工程量计算稿!C107</f>
        <v>台</v>
      </c>
      <c r="D95" s="211"/>
      <c r="E95" s="212"/>
      <c r="F95" s="213">
        <f ca="1">工程量计算稿!E107</f>
        <v>1</v>
      </c>
      <c r="G95" s="214">
        <f ca="1" t="shared" si="12"/>
        <v>1</v>
      </c>
      <c r="H95" s="214">
        <f ca="1" t="shared" si="13"/>
        <v>1</v>
      </c>
      <c r="I95" s="230"/>
      <c r="J95" s="231"/>
    </row>
    <row r="96" ht="16.5" customHeight="1" spans="1:10">
      <c r="A96" s="208">
        <f>工程量计算稿!A108</f>
        <v>14</v>
      </c>
      <c r="B96" s="209" t="str">
        <f>工程量计算稿!B108</f>
        <v>抽水泵（200m）</v>
      </c>
      <c r="C96" s="210" t="str">
        <f>工程量计算稿!C108</f>
        <v>台</v>
      </c>
      <c r="D96" s="211"/>
      <c r="E96" s="212"/>
      <c r="F96" s="213">
        <f ca="1">工程量计算稿!E108</f>
        <v>0</v>
      </c>
      <c r="G96" s="214">
        <f ca="1" t="shared" si="12"/>
        <v>0</v>
      </c>
      <c r="H96" s="214">
        <f ca="1" t="shared" si="13"/>
        <v>0</v>
      </c>
      <c r="I96" s="230"/>
      <c r="J96" s="231"/>
    </row>
    <row r="97" ht="16.5" customHeight="1" spans="1:10">
      <c r="A97" s="208">
        <f>工程量计算稿!A109</f>
        <v>15</v>
      </c>
      <c r="B97" s="209" t="str">
        <f>工程量计算稿!B109</f>
        <v>一体化净化器</v>
      </c>
      <c r="C97" s="210" t="str">
        <f>工程量计算稿!C109</f>
        <v>台</v>
      </c>
      <c r="D97" s="211"/>
      <c r="E97" s="212"/>
      <c r="F97" s="213">
        <f ca="1">工程量计算稿!E109</f>
        <v>0</v>
      </c>
      <c r="G97" s="214">
        <f ca="1" t="shared" si="12"/>
        <v>0</v>
      </c>
      <c r="H97" s="214">
        <f ca="1" t="shared" si="13"/>
        <v>0</v>
      </c>
      <c r="I97" s="230"/>
      <c r="J97" s="231"/>
    </row>
    <row r="98" ht="16.5" customHeight="1" spans="1:10">
      <c r="A98" s="208" t="str">
        <f>工程量计算稿!A110</f>
        <v>新增</v>
      </c>
      <c r="B98" s="209" t="str">
        <f>工程量计算稿!B110</f>
        <v>C20砼垫层</v>
      </c>
      <c r="C98" s="210" t="str">
        <f>工程量计算稿!C110</f>
        <v>m3</v>
      </c>
      <c r="D98" s="211"/>
      <c r="E98" s="212">
        <f>结算审核明细表!I99</f>
        <v>1.54</v>
      </c>
      <c r="F98" s="213">
        <f ca="1">工程量计算稿!E110</f>
        <v>1.5226</v>
      </c>
      <c r="G98" s="214">
        <f ca="1" t="shared" si="12"/>
        <v>1.5226</v>
      </c>
      <c r="H98" s="214">
        <f ca="1" t="shared" si="13"/>
        <v>-0.0174000000000001</v>
      </c>
      <c r="I98" s="230"/>
      <c r="J98" s="231"/>
    </row>
    <row r="99" s="164" customFormat="1" ht="16.5" customHeight="1" spans="1:12">
      <c r="A99" s="208" t="str">
        <f>工程量计算稿!A111</f>
        <v>新增</v>
      </c>
      <c r="B99" s="209" t="str">
        <f>工程量计算稿!B111</f>
        <v>C20砼地面</v>
      </c>
      <c r="C99" s="210" t="str">
        <f>工程量计算稿!C111</f>
        <v>m3</v>
      </c>
      <c r="D99" s="211"/>
      <c r="E99" s="212">
        <f>结算审核明细表!I100</f>
        <v>1.42</v>
      </c>
      <c r="F99" s="213">
        <f ca="1">工程量计算稿!E111</f>
        <v>1.0344</v>
      </c>
      <c r="G99" s="214">
        <f ca="1" t="shared" si="12"/>
        <v>1.0344</v>
      </c>
      <c r="H99" s="214">
        <f ca="1" t="shared" si="13"/>
        <v>-0.3856</v>
      </c>
      <c r="I99" s="230"/>
      <c r="J99" s="231"/>
      <c r="K99" s="173"/>
      <c r="L99" s="173"/>
    </row>
    <row r="100" ht="16.5" customHeight="1" spans="1:10">
      <c r="A100" s="208" t="str">
        <f>工程量计算稿!A112</f>
        <v>新增</v>
      </c>
      <c r="B100" s="209" t="str">
        <f>工程量计算稿!B112</f>
        <v>爬梯制安</v>
      </c>
      <c r="C100" s="210" t="str">
        <f>工程量计算稿!C112</f>
        <v>步</v>
      </c>
      <c r="D100" s="211"/>
      <c r="E100" s="212">
        <f>结算审核明细表!I101</f>
        <v>7</v>
      </c>
      <c r="F100" s="213">
        <f ca="1">工程量计算稿!E112</f>
        <v>7</v>
      </c>
      <c r="G100" s="214">
        <f ca="1" t="shared" si="12"/>
        <v>7</v>
      </c>
      <c r="H100" s="214">
        <f ca="1" t="shared" si="13"/>
        <v>0</v>
      </c>
      <c r="I100" s="230"/>
      <c r="J100" s="231"/>
    </row>
    <row r="101" ht="16.5" customHeight="1" spans="1:10">
      <c r="A101" s="208" t="str">
        <f>工程量计算稿!A113</f>
        <v>新增</v>
      </c>
      <c r="B101" s="209" t="str">
        <f>工程量计算稿!B113</f>
        <v>脚手架</v>
      </c>
      <c r="C101" s="210" t="str">
        <f>工程量计算稿!C113</f>
        <v>m2</v>
      </c>
      <c r="D101" s="211"/>
      <c r="E101" s="212">
        <f>结算审核明细表!I102</f>
        <v>23.6</v>
      </c>
      <c r="F101" s="213">
        <f ca="1">工程量计算稿!E113</f>
        <v>0</v>
      </c>
      <c r="G101" s="214">
        <f ca="1" t="shared" si="12"/>
        <v>0</v>
      </c>
      <c r="H101" s="214">
        <f ca="1" t="shared" si="13"/>
        <v>-23.6</v>
      </c>
      <c r="I101" s="230"/>
      <c r="J101" s="231"/>
    </row>
    <row r="102" ht="16.5" customHeight="1" spans="1:10">
      <c r="A102" s="208" t="str">
        <f>工程量计算稿!A114</f>
        <v>新增</v>
      </c>
      <c r="B102" s="209" t="str">
        <f>工程量计算稿!B114</f>
        <v>池顶不锈钢护栏</v>
      </c>
      <c r="C102" s="210" t="str">
        <f>工程量计算稿!C114</f>
        <v>m2</v>
      </c>
      <c r="D102" s="211"/>
      <c r="E102" s="212">
        <f>结算审核明细表!I103</f>
        <v>32.7</v>
      </c>
      <c r="F102" s="213">
        <f ca="1">工程量计算稿!E114</f>
        <v>29.7</v>
      </c>
      <c r="G102" s="214">
        <f ca="1" t="shared" si="12"/>
        <v>29.7</v>
      </c>
      <c r="H102" s="214">
        <f ca="1" t="shared" si="13"/>
        <v>-3.00000000000001</v>
      </c>
      <c r="I102" s="230"/>
      <c r="J102" s="231"/>
    </row>
    <row r="103" ht="16.5" customHeight="1" spans="1:10">
      <c r="A103" s="208" t="str">
        <f>工程量计算稿!A115</f>
        <v>新增</v>
      </c>
      <c r="B103" s="209" t="str">
        <f>工程量计算稿!B115</f>
        <v>饮水安全标志牌</v>
      </c>
      <c r="C103" s="210" t="str">
        <f>工程量计算稿!C115</f>
        <v>个</v>
      </c>
      <c r="D103" s="211"/>
      <c r="E103" s="212">
        <f>结算审核明细表!I104</f>
        <v>1</v>
      </c>
      <c r="F103" s="213">
        <f ca="1">工程量计算稿!E115</f>
        <v>1</v>
      </c>
      <c r="G103" s="214">
        <f ca="1" t="shared" si="12"/>
        <v>1</v>
      </c>
      <c r="H103" s="214">
        <f ca="1" t="shared" si="13"/>
        <v>0</v>
      </c>
      <c r="I103" s="230"/>
      <c r="J103" s="231"/>
    </row>
    <row r="104" ht="16.5" customHeight="1" spans="1:9">
      <c r="A104" s="201" t="str">
        <f>工程量计算稿!A116</f>
        <v>B(新增)</v>
      </c>
      <c r="B104" s="202" t="str">
        <f>工程量计算稿!B116</f>
        <v>排污、供水管工程</v>
      </c>
      <c r="C104" s="203"/>
      <c r="D104" s="204"/>
      <c r="E104" s="205"/>
      <c r="F104" s="206"/>
      <c r="G104" s="207"/>
      <c r="H104" s="207"/>
      <c r="I104" s="229"/>
    </row>
    <row r="105" ht="16.5" customHeight="1" spans="1:10">
      <c r="A105" s="208">
        <f>工程量计算稿!A117</f>
        <v>1</v>
      </c>
      <c r="B105" s="209" t="str">
        <f>工程量计算稿!B117</f>
        <v>土方开挖</v>
      </c>
      <c r="C105" s="210" t="str">
        <f>工程量计算稿!C117</f>
        <v>m3</v>
      </c>
      <c r="D105" s="211"/>
      <c r="E105" s="212">
        <f>结算审核明细表!I106</f>
        <v>10.66</v>
      </c>
      <c r="F105" s="213">
        <f ca="1">工程量计算稿!E117</f>
        <v>10.6624</v>
      </c>
      <c r="G105" s="214">
        <f ca="1">F105-D105</f>
        <v>10.6624</v>
      </c>
      <c r="H105" s="214">
        <f ca="1">F105-E105</f>
        <v>0.00239999999999974</v>
      </c>
      <c r="I105" s="230"/>
      <c r="J105" s="231"/>
    </row>
    <row r="106" ht="16.5" customHeight="1" spans="1:10">
      <c r="A106" s="208">
        <f>工程量计算稿!A118</f>
        <v>2</v>
      </c>
      <c r="B106" s="209" t="str">
        <f>工程量计算稿!B118</f>
        <v>石方开挖</v>
      </c>
      <c r="C106" s="210" t="str">
        <f>工程量计算稿!C118</f>
        <v>m3</v>
      </c>
      <c r="D106" s="211"/>
      <c r="E106" s="212">
        <f>结算审核明细表!I107</f>
        <v>2.67</v>
      </c>
      <c r="F106" s="213">
        <f ca="1">工程量计算稿!E118</f>
        <v>2.6656</v>
      </c>
      <c r="G106" s="214">
        <f ca="1">F106-D106</f>
        <v>2.6656</v>
      </c>
      <c r="H106" s="214">
        <f ca="1">F106-E106</f>
        <v>-0.00439999999999996</v>
      </c>
      <c r="I106" s="230"/>
      <c r="J106" s="231"/>
    </row>
    <row r="107" ht="16.5" customHeight="1" spans="1:10">
      <c r="A107" s="208">
        <f>工程量计算稿!A119</f>
        <v>3</v>
      </c>
      <c r="B107" s="209" t="str">
        <f>工程量计算稿!B119</f>
        <v>土石方回填</v>
      </c>
      <c r="C107" s="210" t="str">
        <f>工程量计算稿!C119</f>
        <v>m3</v>
      </c>
      <c r="D107" s="211"/>
      <c r="E107" s="212">
        <f>结算审核明细表!I108</f>
        <v>13.33</v>
      </c>
      <c r="F107" s="213">
        <f ca="1">工程量计算稿!E119</f>
        <v>13.328</v>
      </c>
      <c r="G107" s="214">
        <f ca="1">F107-D107</f>
        <v>13.328</v>
      </c>
      <c r="H107" s="214">
        <f ca="1">F107-E107</f>
        <v>-0.00200000000000067</v>
      </c>
      <c r="I107" s="230"/>
      <c r="J107" s="231"/>
    </row>
    <row r="108" ht="16.5" customHeight="1" spans="1:10">
      <c r="A108" s="208">
        <f>工程量计算稿!A120</f>
        <v>4</v>
      </c>
      <c r="B108" s="209" t="str">
        <f>工程量计算稿!B120</f>
        <v>C20砼 截留环（2个）</v>
      </c>
      <c r="C108" s="210" t="str">
        <f>工程量计算稿!C120</f>
        <v>m3</v>
      </c>
      <c r="D108" s="211"/>
      <c r="E108" s="212">
        <f>结算审核明细表!I109</f>
        <v>1</v>
      </c>
      <c r="F108" s="213">
        <f ca="1">工程量计算稿!E120</f>
        <v>1</v>
      </c>
      <c r="G108" s="214">
        <f ca="1">F108-D108</f>
        <v>1</v>
      </c>
      <c r="H108" s="214">
        <f ca="1">F108-E108</f>
        <v>0</v>
      </c>
      <c r="I108" s="230"/>
      <c r="J108" s="231"/>
    </row>
    <row r="109" ht="16.5" customHeight="1" spans="1:9">
      <c r="A109" s="201" t="str">
        <f>工程量计算稿!A121</f>
        <v>（二）</v>
      </c>
      <c r="B109" s="202" t="str">
        <f>工程量计算稿!B121</f>
        <v>过滤池（集水池工程）</v>
      </c>
      <c r="C109" s="203" t="str">
        <f>工程量计算稿!C121</f>
        <v/>
      </c>
      <c r="D109" s="204"/>
      <c r="E109" s="205"/>
      <c r="F109" s="206"/>
      <c r="G109" s="207"/>
      <c r="H109" s="207"/>
      <c r="I109" s="229"/>
    </row>
    <row r="110" ht="16.5" customHeight="1" spans="1:10">
      <c r="A110" s="208">
        <f>工程量计算稿!A122</f>
        <v>1</v>
      </c>
      <c r="B110" s="209" t="str">
        <f>工程量计算稿!B122</f>
        <v>土方开挖</v>
      </c>
      <c r="C110" s="210" t="str">
        <f>工程量计算稿!C122</f>
        <v>m3</v>
      </c>
      <c r="D110" s="211"/>
      <c r="E110" s="212">
        <f>结算审核明细表!I111</f>
        <v>4.7</v>
      </c>
      <c r="F110" s="213">
        <f ca="1">工程量计算稿!E122</f>
        <v>4.704</v>
      </c>
      <c r="G110" s="214">
        <f ca="1" t="shared" ref="G110:G119" si="14">F110-D110</f>
        <v>4.704</v>
      </c>
      <c r="H110" s="214">
        <f ca="1" t="shared" ref="H110:H119" si="15">F110-E110</f>
        <v>0.00399999999999956</v>
      </c>
      <c r="I110" s="230"/>
      <c r="J110" s="231"/>
    </row>
    <row r="111" ht="16.5" customHeight="1" spans="1:10">
      <c r="A111" s="208">
        <f>工程量计算稿!A123</f>
        <v>2</v>
      </c>
      <c r="B111" s="209" t="str">
        <f>工程量计算稿!B123</f>
        <v>C25混凝土底板浇筑【资料C20】</v>
      </c>
      <c r="C111" s="210" t="str">
        <f>工程量计算稿!C123</f>
        <v>m3</v>
      </c>
      <c r="D111" s="211"/>
      <c r="E111" s="212">
        <f>结算审核明细表!I112</f>
        <v>0.78</v>
      </c>
      <c r="F111" s="213">
        <f ca="1">工程量计算稿!E123</f>
        <v>0.784</v>
      </c>
      <c r="G111" s="214">
        <f ca="1" t="shared" si="14"/>
        <v>0.784</v>
      </c>
      <c r="H111" s="214">
        <f ca="1" t="shared" si="15"/>
        <v>0.00399999999999989</v>
      </c>
      <c r="I111" s="239" t="s">
        <v>87</v>
      </c>
      <c r="J111" s="231"/>
    </row>
    <row r="112" ht="16.5" customHeight="1" spans="1:10">
      <c r="A112" s="208">
        <f>工程量计算稿!A124</f>
        <v>3</v>
      </c>
      <c r="B112" s="209" t="str">
        <f>工程量计算稿!B124</f>
        <v>C25混凝土顶板浇筑</v>
      </c>
      <c r="C112" s="210" t="str">
        <f>工程量计算稿!C124</f>
        <v>m3</v>
      </c>
      <c r="D112" s="211"/>
      <c r="E112" s="212">
        <f>结算审核明细表!I113</f>
        <v>0.55</v>
      </c>
      <c r="F112" s="213">
        <f ca="1">工程量计算稿!E124</f>
        <v>0.5488</v>
      </c>
      <c r="G112" s="214">
        <f ca="1" t="shared" si="14"/>
        <v>0.5488</v>
      </c>
      <c r="H112" s="214">
        <f ca="1" t="shared" si="15"/>
        <v>-0.00120000000000009</v>
      </c>
      <c r="I112" s="230"/>
      <c r="J112" s="231"/>
    </row>
    <row r="113" ht="16.5" customHeight="1" spans="1:10">
      <c r="A113" s="208">
        <f>工程量计算稿!A125</f>
        <v>4</v>
      </c>
      <c r="B113" s="209" t="str">
        <f>工程量计算稿!B125</f>
        <v>M7.5砖砌</v>
      </c>
      <c r="C113" s="210" t="str">
        <f>工程量计算稿!C125</f>
        <v>m3</v>
      </c>
      <c r="D113" s="211"/>
      <c r="E113" s="212">
        <f>结算审核明细表!I114</f>
        <v>2.02</v>
      </c>
      <c r="F113" s="213">
        <f ca="1">工程量计算稿!E125</f>
        <v>1.87776</v>
      </c>
      <c r="G113" s="214">
        <f ca="1" t="shared" si="14"/>
        <v>1.87776</v>
      </c>
      <c r="H113" s="214">
        <f ca="1" t="shared" si="15"/>
        <v>-0.14224</v>
      </c>
      <c r="I113" s="230"/>
      <c r="J113" s="231"/>
    </row>
    <row r="114" ht="16.5" customHeight="1" spans="1:10">
      <c r="A114" s="208">
        <f>工程量计算稿!A126</f>
        <v>5</v>
      </c>
      <c r="B114" s="209" t="str">
        <f>工程量计算稿!B126</f>
        <v>木模制安</v>
      </c>
      <c r="C114" s="210" t="str">
        <f>工程量计算稿!C126</f>
        <v>m2</v>
      </c>
      <c r="D114" s="211"/>
      <c r="E114" s="212">
        <f>结算审核明细表!I115</f>
        <v>5.69</v>
      </c>
      <c r="F114" s="213">
        <f ca="1">工程量计算稿!E126</f>
        <v>5.6904</v>
      </c>
      <c r="G114" s="214">
        <f ca="1" t="shared" si="14"/>
        <v>5.6904</v>
      </c>
      <c r="H114" s="214">
        <f ca="1" t="shared" si="15"/>
        <v>0.000399999999999956</v>
      </c>
      <c r="I114" s="230"/>
      <c r="J114" s="231"/>
    </row>
    <row r="115" ht="16.5" customHeight="1" spans="1:10">
      <c r="A115" s="208">
        <f>工程量计算稿!A127</f>
        <v>6</v>
      </c>
      <c r="B115" s="209" t="str">
        <f>工程量计算稿!B127</f>
        <v>钢筋制安</v>
      </c>
      <c r="C115" s="210" t="str">
        <f>工程量计算稿!C127</f>
        <v>kg</v>
      </c>
      <c r="D115" s="211"/>
      <c r="E115" s="218">
        <f>结算审核明细表!I116*1000</f>
        <v>90</v>
      </c>
      <c r="F115" s="213">
        <f ca="1">工程量计算稿!E127</f>
        <v>84.7512</v>
      </c>
      <c r="G115" s="214">
        <f ca="1" t="shared" si="14"/>
        <v>84.7512</v>
      </c>
      <c r="H115" s="214">
        <f ca="1" t="shared" si="15"/>
        <v>-5.24879999999999</v>
      </c>
      <c r="I115" s="230"/>
      <c r="J115" s="231"/>
    </row>
    <row r="116" ht="16.5" customHeight="1" spans="1:10">
      <c r="A116" s="208">
        <f>工程量计算稿!A128</f>
        <v>7</v>
      </c>
      <c r="B116" s="209" t="str">
        <f>工程量计算稿!B128</f>
        <v>M10沙浆抹面</v>
      </c>
      <c r="C116" s="210" t="str">
        <f>工程量计算稿!C128</f>
        <v>m2</v>
      </c>
      <c r="D116" s="211"/>
      <c r="E116" s="212">
        <f>结算审核明细表!I117</f>
        <v>11.36</v>
      </c>
      <c r="F116" s="213">
        <f ca="1">工程量计算稿!E128</f>
        <v>11.3552</v>
      </c>
      <c r="G116" s="214">
        <f ca="1" t="shared" si="14"/>
        <v>11.3552</v>
      </c>
      <c r="H116" s="214">
        <f ca="1" t="shared" si="15"/>
        <v>-0.00479999999999947</v>
      </c>
      <c r="I116" s="230"/>
      <c r="J116" s="231"/>
    </row>
    <row r="117" ht="16.5" customHeight="1" spans="1:10">
      <c r="A117" s="208">
        <f>工程量计算稿!A129</f>
        <v>8</v>
      </c>
      <c r="B117" s="209" t="str">
        <f>工程量计算稿!B129</f>
        <v>砂石滤料</v>
      </c>
      <c r="C117" s="210" t="str">
        <f>工程量计算稿!C129</f>
        <v>m3</v>
      </c>
      <c r="D117" s="211"/>
      <c r="E117" s="212">
        <f>结算审核明细表!I118</f>
        <v>2.36</v>
      </c>
      <c r="F117" s="213">
        <f ca="1">工程量计算稿!E129</f>
        <v>2.3552</v>
      </c>
      <c r="G117" s="214">
        <f ca="1" t="shared" si="14"/>
        <v>2.3552</v>
      </c>
      <c r="H117" s="214">
        <f ca="1" t="shared" si="15"/>
        <v>-0.00479999999999992</v>
      </c>
      <c r="I117" s="230"/>
      <c r="J117" s="231"/>
    </row>
    <row r="118" ht="16.5" customHeight="1" spans="1:10">
      <c r="A118" s="208" t="str">
        <f>工程量计算稿!A130</f>
        <v>新增</v>
      </c>
      <c r="B118" s="209" t="str">
        <f>工程量计算稿!B130</f>
        <v>石方开挖</v>
      </c>
      <c r="C118" s="210" t="str">
        <f>工程量计算稿!C130</f>
        <v>m3</v>
      </c>
      <c r="D118" s="211"/>
      <c r="E118" s="212">
        <f>结算审核明细表!I119</f>
        <v>2.02</v>
      </c>
      <c r="F118" s="213">
        <f ca="1">工程量计算稿!E130</f>
        <v>2.016</v>
      </c>
      <c r="G118" s="214">
        <f ca="1" t="shared" si="14"/>
        <v>2.016</v>
      </c>
      <c r="H118" s="214">
        <f ca="1" t="shared" si="15"/>
        <v>-0.004</v>
      </c>
      <c r="I118" s="230"/>
      <c r="J118" s="231"/>
    </row>
    <row r="119" ht="16.5" customHeight="1" spans="1:10">
      <c r="A119" s="208" t="str">
        <f>工程量计算稿!A131</f>
        <v>新增</v>
      </c>
      <c r="B119" s="209" t="str">
        <f>工程量计算稿!B131</f>
        <v>土石方回填</v>
      </c>
      <c r="C119" s="210" t="str">
        <f>工程量计算稿!C131</f>
        <v>m3</v>
      </c>
      <c r="D119" s="211"/>
      <c r="E119" s="212">
        <f>结算审核明细表!I120</f>
        <v>1.4</v>
      </c>
      <c r="F119" s="213">
        <f ca="1">工程量计算稿!E131</f>
        <v>1.4</v>
      </c>
      <c r="G119" s="214">
        <f ca="1" t="shared" si="14"/>
        <v>1.4</v>
      </c>
      <c r="H119" s="214">
        <f ca="1" t="shared" si="15"/>
        <v>0</v>
      </c>
      <c r="I119" s="230"/>
      <c r="J119" s="231"/>
    </row>
    <row r="120" ht="16.5" customHeight="1" spans="1:9">
      <c r="A120" s="201" t="str">
        <f>工程量计算稿!A132</f>
        <v>（三）</v>
      </c>
      <c r="B120" s="202" t="str">
        <f>工程量计算稿!B132</f>
        <v>闸室工程(尺寸1.6*1.65*1m)</v>
      </c>
      <c r="C120" s="203" t="str">
        <f>工程量计算稿!C132</f>
        <v/>
      </c>
      <c r="D120" s="204"/>
      <c r="E120" s="205"/>
      <c r="F120" s="206"/>
      <c r="G120" s="207"/>
      <c r="H120" s="207"/>
      <c r="I120" s="229"/>
    </row>
    <row r="121" ht="16.5" customHeight="1" spans="1:10">
      <c r="A121" s="208">
        <f>工程量计算稿!A133</f>
        <v>1</v>
      </c>
      <c r="B121" s="209" t="str">
        <f>工程量计算稿!B133</f>
        <v>土方开挖</v>
      </c>
      <c r="C121" s="210" t="str">
        <f>工程量计算稿!C133</f>
        <v>m3</v>
      </c>
      <c r="D121" s="211"/>
      <c r="E121" s="212">
        <f>结算审核明细表!I122</f>
        <v>3.72</v>
      </c>
      <c r="F121" s="213">
        <f ca="1">工程量计算稿!E133</f>
        <v>3.7191</v>
      </c>
      <c r="G121" s="214">
        <f ca="1" t="shared" ref="G98:G147" si="16">F121-D121</f>
        <v>3.7191</v>
      </c>
      <c r="H121" s="214">
        <f ca="1">F121-E121</f>
        <v>-0.000900000000000123</v>
      </c>
      <c r="I121" s="230"/>
      <c r="J121" s="231"/>
    </row>
    <row r="122" ht="16.5" customHeight="1" spans="1:10">
      <c r="A122" s="208">
        <f>工程量计算稿!A134</f>
        <v>2</v>
      </c>
      <c r="B122" s="209" t="str">
        <f>工程量计算稿!B134</f>
        <v>石方开挖</v>
      </c>
      <c r="C122" s="210" t="str">
        <f>工程量计算稿!C134</f>
        <v>m3</v>
      </c>
      <c r="D122" s="211"/>
      <c r="E122" s="212">
        <f>结算审核明细表!I123</f>
        <v>1.59</v>
      </c>
      <c r="F122" s="213">
        <f ca="1">工程量计算稿!E134</f>
        <v>1.5939</v>
      </c>
      <c r="G122" s="214">
        <f ca="1" t="shared" si="16"/>
        <v>1.5939</v>
      </c>
      <c r="H122" s="214">
        <f ca="1">F122-E122</f>
        <v>0.00390000000000001</v>
      </c>
      <c r="I122" s="230"/>
      <c r="J122" s="231"/>
    </row>
    <row r="123" ht="16.5" customHeight="1" spans="1:10">
      <c r="A123" s="208">
        <f>工程量计算稿!A135</f>
        <v>3</v>
      </c>
      <c r="B123" s="209" t="str">
        <f>工程量计算稿!B135</f>
        <v>土石方回填</v>
      </c>
      <c r="C123" s="210" t="str">
        <f>工程量计算稿!C135</f>
        <v>m3</v>
      </c>
      <c r="D123" s="211"/>
      <c r="E123" s="212">
        <f>结算审核明细表!I124</f>
        <v>0.97</v>
      </c>
      <c r="F123" s="213">
        <f ca="1">工程量计算稿!E135</f>
        <v>0.98</v>
      </c>
      <c r="G123" s="214">
        <f ca="1" t="shared" si="16"/>
        <v>0.98</v>
      </c>
      <c r="H123" s="214">
        <f ca="1">F123-E123</f>
        <v>0.0100000000000001</v>
      </c>
      <c r="I123" s="230"/>
      <c r="J123" s="231"/>
    </row>
    <row r="124" ht="16.5" customHeight="1" spans="1:10">
      <c r="A124" s="208">
        <f>工程量计算稿!A136</f>
        <v>4</v>
      </c>
      <c r="B124" s="209" t="str">
        <f>工程量计算稿!B136</f>
        <v>C25混凝土底板浇筑【资料C20】</v>
      </c>
      <c r="C124" s="210" t="str">
        <f>工程量计算稿!C136</f>
        <v>m3</v>
      </c>
      <c r="D124" s="211"/>
      <c r="E124" s="212">
        <f>结算审核明细表!I125</f>
        <v>0.4</v>
      </c>
      <c r="F124" s="213">
        <f ca="1">工程量计算稿!E136</f>
        <v>0.408</v>
      </c>
      <c r="G124" s="214">
        <f ca="1" t="shared" si="16"/>
        <v>0.408</v>
      </c>
      <c r="H124" s="214">
        <f ca="1" t="shared" ref="H124:H129" si="17">F124-E124</f>
        <v>0.00800000000000001</v>
      </c>
      <c r="I124" s="239" t="s">
        <v>87</v>
      </c>
      <c r="J124" s="231"/>
    </row>
    <row r="125" ht="16.5" customHeight="1" spans="1:10">
      <c r="A125" s="208">
        <f>工程量计算稿!A137</f>
        <v>5</v>
      </c>
      <c r="B125" s="209" t="str">
        <f>工程量计算稿!B137</f>
        <v>M7.5砖砌围墙</v>
      </c>
      <c r="C125" s="210" t="str">
        <f>工程量计算稿!C137</f>
        <v>m3</v>
      </c>
      <c r="D125" s="211"/>
      <c r="E125" s="212">
        <f>结算审核明细表!I126</f>
        <v>1.56</v>
      </c>
      <c r="F125" s="213">
        <f ca="1">工程量计算稿!E137</f>
        <v>1.3536</v>
      </c>
      <c r="G125" s="214">
        <f ca="1" t="shared" si="16"/>
        <v>1.3536</v>
      </c>
      <c r="H125" s="214">
        <f ca="1" t="shared" si="17"/>
        <v>-0.2064</v>
      </c>
      <c r="I125" s="230"/>
      <c r="J125" s="231"/>
    </row>
    <row r="126" ht="16.5" customHeight="1" spans="1:10">
      <c r="A126" s="208">
        <f>工程量计算稿!A138</f>
        <v>6</v>
      </c>
      <c r="B126" s="209" t="str">
        <f>工程量计算稿!B138</f>
        <v>M10沙浆抹面</v>
      </c>
      <c r="C126" s="210" t="str">
        <f>工程量计算稿!C138</f>
        <v>m2</v>
      </c>
      <c r="D126" s="211"/>
      <c r="E126" s="212">
        <f>结算审核明细表!I127</f>
        <v>6.6</v>
      </c>
      <c r="F126" s="213">
        <f ca="1">工程量计算稿!E138</f>
        <v>6.7392</v>
      </c>
      <c r="G126" s="214">
        <f ca="1" t="shared" si="16"/>
        <v>6.7392</v>
      </c>
      <c r="H126" s="214">
        <f ca="1" t="shared" si="17"/>
        <v>0.1392</v>
      </c>
      <c r="I126" s="230"/>
      <c r="J126" s="231"/>
    </row>
    <row r="127" ht="16.5" customHeight="1" spans="1:10">
      <c r="A127" s="208" t="str">
        <f>工程量计算稿!A139</f>
        <v>新增</v>
      </c>
      <c r="B127" s="209" t="str">
        <f>工程量计算稿!B139</f>
        <v>C25混凝土顶板浇筑</v>
      </c>
      <c r="C127" s="210" t="str">
        <f>工程量计算稿!C139</f>
        <v>m3</v>
      </c>
      <c r="D127" s="211"/>
      <c r="E127" s="212">
        <f>结算审核明细表!I128</f>
        <v>0.18</v>
      </c>
      <c r="F127" s="213">
        <f ca="1">工程量计算稿!E139</f>
        <v>0.1632</v>
      </c>
      <c r="G127" s="214">
        <f ca="1" t="shared" si="16"/>
        <v>0.1632</v>
      </c>
      <c r="H127" s="214">
        <f ca="1" t="shared" si="17"/>
        <v>-0.0168</v>
      </c>
      <c r="I127" s="230"/>
      <c r="J127" s="231"/>
    </row>
    <row r="128" ht="16.5" customHeight="1" spans="1:10">
      <c r="A128" s="208" t="str">
        <f>工程量计算稿!A140</f>
        <v>新增</v>
      </c>
      <c r="B128" s="209" t="str">
        <f>工程量计算稿!B140</f>
        <v>木模制安</v>
      </c>
      <c r="C128" s="210" t="str">
        <f>工程量计算稿!C140</f>
        <v>m2</v>
      </c>
      <c r="D128" s="211"/>
      <c r="E128" s="212">
        <f>结算审核明细表!I129</f>
        <v>1.77</v>
      </c>
      <c r="F128" s="213">
        <f ca="1">工程量计算稿!E140</f>
        <v>0.396</v>
      </c>
      <c r="G128" s="214">
        <f ca="1" t="shared" si="16"/>
        <v>0.396</v>
      </c>
      <c r="H128" s="214">
        <f ca="1" t="shared" si="17"/>
        <v>-1.374</v>
      </c>
      <c r="I128" s="230"/>
      <c r="J128" s="231"/>
    </row>
    <row r="129" ht="16.5" customHeight="1" spans="1:10">
      <c r="A129" s="208" t="str">
        <f>工程量计算稿!A141</f>
        <v>新增</v>
      </c>
      <c r="B129" s="209" t="str">
        <f>工程量计算稿!B141</f>
        <v>钢筋制安</v>
      </c>
      <c r="C129" s="210" t="str">
        <f>工程量计算稿!C141</f>
        <v>kg</v>
      </c>
      <c r="D129" s="211"/>
      <c r="E129" s="218">
        <f>结算审核明细表!I130*1000</f>
        <v>10</v>
      </c>
      <c r="F129" s="213">
        <f ca="1">工程量计算稿!E141</f>
        <v>29.2142</v>
      </c>
      <c r="G129" s="214">
        <f ca="1" t="shared" si="16"/>
        <v>29.2142</v>
      </c>
      <c r="H129" s="214">
        <f ca="1" t="shared" si="17"/>
        <v>19.2142</v>
      </c>
      <c r="I129" s="230"/>
      <c r="J129" s="231"/>
    </row>
    <row r="130" ht="16.5" customHeight="1" spans="1:9">
      <c r="A130" s="201" t="str">
        <f>工程量计算稿!A142</f>
        <v>（四）</v>
      </c>
      <c r="B130" s="202" t="str">
        <f>工程量计算稿!B142</f>
        <v>建筑材料人力二次运输</v>
      </c>
      <c r="C130" s="203"/>
      <c r="D130" s="204"/>
      <c r="E130" s="205"/>
      <c r="F130" s="206"/>
      <c r="G130" s="207"/>
      <c r="H130" s="207"/>
      <c r="I130" s="229"/>
    </row>
    <row r="131" ht="16.5" customHeight="1" spans="1:9">
      <c r="A131" s="208">
        <f>工程量计算稿!A143</f>
        <v>1</v>
      </c>
      <c r="B131" s="209" t="str">
        <f>工程量计算稿!B143</f>
        <v>人力二次转运材料200米</v>
      </c>
      <c r="C131" s="210" t="str">
        <f>工程量计算稿!C143</f>
        <v>t/km</v>
      </c>
      <c r="D131" s="211"/>
      <c r="E131" s="212">
        <f>结算审核明细表!I132</f>
        <v>0</v>
      </c>
      <c r="F131" s="213">
        <f>工程量计算稿!E143</f>
        <v>0</v>
      </c>
      <c r="G131" s="214">
        <f t="shared" si="16"/>
        <v>0</v>
      </c>
      <c r="H131" s="214">
        <f t="shared" ref="H131:H136" si="18">F131-E131</f>
        <v>0</v>
      </c>
      <c r="I131" s="230"/>
    </row>
    <row r="132" ht="16.5" customHeight="1" spans="1:9">
      <c r="A132" s="208">
        <f>工程量计算稿!A144</f>
        <v>2</v>
      </c>
      <c r="B132" s="209" t="str">
        <f>工程量计算稿!B144</f>
        <v>水泥</v>
      </c>
      <c r="C132" s="210" t="str">
        <f>工程量计算稿!C144</f>
        <v>t</v>
      </c>
      <c r="D132" s="211"/>
      <c r="E132" s="212">
        <f>结算审核明细表!I133</f>
        <v>11.65</v>
      </c>
      <c r="F132" s="213">
        <f ca="1">工程量计算稿!E144</f>
        <v>10.6511184306032</v>
      </c>
      <c r="G132" s="214">
        <f ca="1" t="shared" si="16"/>
        <v>10.6511184306032</v>
      </c>
      <c r="H132" s="214">
        <f ca="1" t="shared" si="18"/>
        <v>-0.998881569396801</v>
      </c>
      <c r="I132" s="230"/>
    </row>
    <row r="133" ht="16.5" customHeight="1" spans="1:9">
      <c r="A133" s="208">
        <f>工程量计算稿!A145</f>
        <v>3</v>
      </c>
      <c r="B133" s="209" t="str">
        <f>工程量计算稿!B145</f>
        <v>砂</v>
      </c>
      <c r="C133" s="210" t="str">
        <f>工程量计算稿!C145</f>
        <v>m3</v>
      </c>
      <c r="D133" s="211"/>
      <c r="E133" s="212">
        <f>结算审核明细表!I134</f>
        <v>17.98</v>
      </c>
      <c r="F133" s="213">
        <f ca="1">工程量计算稿!E145</f>
        <v>15.7673357328</v>
      </c>
      <c r="G133" s="214">
        <f ca="1" t="shared" si="16"/>
        <v>15.7673357328</v>
      </c>
      <c r="H133" s="214">
        <f ca="1" t="shared" si="18"/>
        <v>-2.2126642672</v>
      </c>
      <c r="I133" s="230"/>
    </row>
    <row r="134" ht="16.5" customHeight="1" spans="1:9">
      <c r="A134" s="208">
        <f>工程量计算稿!A146</f>
        <v>4</v>
      </c>
      <c r="B134" s="209" t="str">
        <f>工程量计算稿!B146</f>
        <v>碎石</v>
      </c>
      <c r="C134" s="210" t="str">
        <f>工程量计算稿!C146</f>
        <v>m3</v>
      </c>
      <c r="D134" s="211"/>
      <c r="E134" s="212">
        <f>结算审核明细表!I135</f>
        <v>26.49</v>
      </c>
      <c r="F134" s="213">
        <f ca="1">工程量计算稿!E146</f>
        <v>26.2112351792</v>
      </c>
      <c r="G134" s="214">
        <f ca="1" t="shared" si="16"/>
        <v>26.2112351792</v>
      </c>
      <c r="H134" s="214">
        <f ca="1" t="shared" si="18"/>
        <v>-0.278764820799996</v>
      </c>
      <c r="I134" s="230"/>
    </row>
    <row r="135" ht="16.5" customHeight="1" spans="1:9">
      <c r="A135" s="208">
        <f>工程量计算稿!A147</f>
        <v>5</v>
      </c>
      <c r="B135" s="209" t="str">
        <f>工程量计算稿!B147</f>
        <v>页岩砖</v>
      </c>
      <c r="C135" s="210" t="str">
        <f>工程量计算稿!C147</f>
        <v>千匹</v>
      </c>
      <c r="D135" s="211"/>
      <c r="E135" s="212">
        <f>结算审核明细表!I136</f>
        <v>3.58</v>
      </c>
      <c r="F135" s="213">
        <f ca="1">工程量计算稿!E147</f>
        <v>1.72554624</v>
      </c>
      <c r="G135" s="214">
        <f ca="1" t="shared" si="16"/>
        <v>1.72554624</v>
      </c>
      <c r="H135" s="214">
        <f ca="1" t="shared" si="18"/>
        <v>-1.85445376</v>
      </c>
      <c r="I135" s="230"/>
    </row>
    <row r="136" ht="16.5" customHeight="1" spans="1:9">
      <c r="A136" s="208">
        <f>工程量计算稿!A148</f>
        <v>6</v>
      </c>
      <c r="B136" s="209" t="str">
        <f>工程量计算稿!B148</f>
        <v>钢筋</v>
      </c>
      <c r="C136" s="210" t="str">
        <f>工程量计算稿!C148</f>
        <v>t</v>
      </c>
      <c r="D136" s="211"/>
      <c r="E136" s="212">
        <f>结算审核明细表!I137</f>
        <v>1.67</v>
      </c>
      <c r="F136" s="213">
        <f ca="1">工程量计算稿!E148</f>
        <v>1.3771452</v>
      </c>
      <c r="G136" s="214">
        <f ca="1" t="shared" si="16"/>
        <v>1.3771452</v>
      </c>
      <c r="H136" s="214">
        <f ca="1" t="shared" si="18"/>
        <v>-0.2928548</v>
      </c>
      <c r="I136" s="230"/>
    </row>
    <row r="137" ht="16.5" customHeight="1" spans="1:9">
      <c r="A137" s="189" t="str">
        <f>工程量计算稿!A149</f>
        <v>三</v>
      </c>
      <c r="B137" s="195" t="str">
        <f>工程量计算稿!B149</f>
        <v>刘家湾供水工程</v>
      </c>
      <c r="C137" s="196"/>
      <c r="D137" s="197"/>
      <c r="E137" s="198"/>
      <c r="F137" s="199"/>
      <c r="G137" s="200"/>
      <c r="H137" s="200"/>
      <c r="I137" s="228"/>
    </row>
    <row r="138" ht="16.5" customHeight="1" spans="1:9">
      <c r="A138" s="201" t="str">
        <f>工程量计算稿!A150</f>
        <v>（一）</v>
      </c>
      <c r="B138" s="202" t="str">
        <f>工程量计算稿!B150</f>
        <v>蓄水池工程</v>
      </c>
      <c r="C138" s="203"/>
      <c r="D138" s="204"/>
      <c r="E138" s="205"/>
      <c r="F138" s="206"/>
      <c r="G138" s="207"/>
      <c r="H138" s="207"/>
      <c r="I138" s="229"/>
    </row>
    <row r="139" ht="16.5" customHeight="1" spans="1:10">
      <c r="A139" s="208">
        <f>工程量计算稿!A151</f>
        <v>1</v>
      </c>
      <c r="B139" s="209" t="str">
        <f>工程量计算稿!B151</f>
        <v>土方开挖</v>
      </c>
      <c r="C139" s="210" t="str">
        <f>工程量计算稿!C151</f>
        <v>m3</v>
      </c>
      <c r="D139" s="211">
        <f>结算审核明细表!D140</f>
        <v>35.29</v>
      </c>
      <c r="E139" s="212">
        <f>结算审核明细表!I140</f>
        <v>16.8</v>
      </c>
      <c r="F139" s="213">
        <f ca="1">工程量计算稿!E151</f>
        <v>16.8</v>
      </c>
      <c r="G139" s="214">
        <f ca="1" t="shared" ref="G139:G161" si="19">F139-D139</f>
        <v>-18.49</v>
      </c>
      <c r="H139" s="214">
        <f ca="1" t="shared" ref="H139:H161" si="20">F139-E139</f>
        <v>0</v>
      </c>
      <c r="I139" s="230"/>
      <c r="J139" s="231"/>
    </row>
    <row r="140" ht="16.5" customHeight="1" spans="1:10">
      <c r="A140" s="208">
        <f>工程量计算稿!A152</f>
        <v>2</v>
      </c>
      <c r="B140" s="209" t="str">
        <f>工程量计算稿!B152</f>
        <v>石方开挖</v>
      </c>
      <c r="C140" s="210" t="str">
        <f>工程量计算稿!C152</f>
        <v>m3</v>
      </c>
      <c r="D140" s="211">
        <f>结算审核明细表!D141</f>
        <v>2.64</v>
      </c>
      <c r="E140" s="212">
        <f>结算审核明细表!I141</f>
        <v>47.6</v>
      </c>
      <c r="F140" s="213">
        <f ca="1">工程量计算稿!E152</f>
        <v>47.6</v>
      </c>
      <c r="G140" s="214">
        <f ca="1" t="shared" si="19"/>
        <v>44.96</v>
      </c>
      <c r="H140" s="214">
        <f ca="1" t="shared" si="20"/>
        <v>0</v>
      </c>
      <c r="I140" s="230"/>
      <c r="J140" s="231"/>
    </row>
    <row r="141" ht="16.5" customHeight="1" spans="1:10">
      <c r="A141" s="208">
        <f>工程量计算稿!A153</f>
        <v>3</v>
      </c>
      <c r="B141" s="209" t="str">
        <f>工程量计算稿!B153</f>
        <v>土石方回填</v>
      </c>
      <c r="C141" s="210" t="str">
        <f>工程量计算稿!C153</f>
        <v>m3</v>
      </c>
      <c r="D141" s="211">
        <f>结算审核明细表!D142</f>
        <v>34.99</v>
      </c>
      <c r="E141" s="212">
        <f>结算审核明细表!I142</f>
        <v>6.46</v>
      </c>
      <c r="F141" s="213">
        <f ca="1">工程量计算稿!E153</f>
        <v>6.408</v>
      </c>
      <c r="G141" s="214">
        <f ca="1" t="shared" si="19"/>
        <v>-28.582</v>
      </c>
      <c r="H141" s="214">
        <f ca="1" t="shared" si="20"/>
        <v>-0.0519999999999996</v>
      </c>
      <c r="I141" s="234"/>
      <c r="J141" s="231"/>
    </row>
    <row r="142" ht="16.5" customHeight="1" spans="1:10">
      <c r="A142" s="215">
        <f>工程量计算稿!A154</f>
        <v>4</v>
      </c>
      <c r="B142" s="209" t="str">
        <f>工程量计算稿!B154</f>
        <v>C25砼 2级配 32.5水泥 粒径40mm（底板）</v>
      </c>
      <c r="C142" s="210" t="str">
        <f>工程量计算稿!C154</f>
        <v>m3</v>
      </c>
      <c r="D142" s="211">
        <f>结算审核明细表!D143</f>
        <v>4.56</v>
      </c>
      <c r="E142" s="212">
        <f>结算审核明细表!I143</f>
        <v>5.73</v>
      </c>
      <c r="F142" s="213">
        <f ca="1">工程量计算稿!E154</f>
        <v>3.762</v>
      </c>
      <c r="G142" s="214">
        <f ca="1" t="shared" si="19"/>
        <v>-0.798</v>
      </c>
      <c r="H142" s="214">
        <f ca="1" t="shared" si="20"/>
        <v>-1.968</v>
      </c>
      <c r="I142" s="230"/>
      <c r="J142" s="231"/>
    </row>
    <row r="143" ht="16.5" customHeight="1" spans="1:10">
      <c r="A143" s="216"/>
      <c r="B143" s="209" t="str">
        <f>工程量计算稿!B155</f>
        <v>C25砼 2级配 32.5水泥 粒径40mm（顶板）</v>
      </c>
      <c r="C143" s="210" t="str">
        <f>工程量计算稿!C155</f>
        <v>m3</v>
      </c>
      <c r="D143" s="211">
        <f>结算审核明细表!D144</f>
        <v>0</v>
      </c>
      <c r="E143" s="212">
        <f>结算审核明细表!I144</f>
        <v>4.29</v>
      </c>
      <c r="F143" s="213">
        <f ca="1">工程量计算稿!E155</f>
        <v>3.52</v>
      </c>
      <c r="G143" s="214">
        <f ca="1" t="shared" si="19"/>
        <v>3.52</v>
      </c>
      <c r="H143" s="214">
        <f ca="1" t="shared" si="20"/>
        <v>-0.77</v>
      </c>
      <c r="I143" s="234"/>
      <c r="J143" s="231"/>
    </row>
    <row r="144" ht="16.5" customHeight="1" spans="1:10">
      <c r="A144" s="216"/>
      <c r="B144" s="209" t="str">
        <f>工程量计算稿!B156</f>
        <v>C25砼 2级配 32.5水泥 粒径40mm（梁）</v>
      </c>
      <c r="C144" s="210" t="str">
        <f>工程量计算稿!C156</f>
        <v>m3</v>
      </c>
      <c r="D144" s="211">
        <f>结算审核明细表!D145</f>
        <v>0</v>
      </c>
      <c r="E144" s="212">
        <f>结算审核明细表!I145</f>
        <v>1.08</v>
      </c>
      <c r="F144" s="213">
        <f ca="1">工程量计算稿!E156</f>
        <v>0.9576</v>
      </c>
      <c r="G144" s="214">
        <f ca="1" t="shared" si="19"/>
        <v>0.9576</v>
      </c>
      <c r="H144" s="214">
        <f ca="1" t="shared" si="20"/>
        <v>-0.1224</v>
      </c>
      <c r="I144" s="234"/>
      <c r="J144" s="231"/>
    </row>
    <row r="145" ht="16.5" customHeight="1" spans="1:10">
      <c r="A145" s="217"/>
      <c r="B145" s="209" t="str">
        <f>工程量计算稿!B157</f>
        <v>C25砼 2级配 32.5水泥 粒径40mm（侧墙）</v>
      </c>
      <c r="C145" s="210" t="str">
        <f>工程量计算稿!C157</f>
        <v>m3</v>
      </c>
      <c r="D145" s="211">
        <f>结算审核明细表!D146</f>
        <v>0</v>
      </c>
      <c r="E145" s="212">
        <f>结算审核明细表!I146</f>
        <v>19.3</v>
      </c>
      <c r="F145" s="213">
        <f ca="1">工程量计算稿!E157</f>
        <v>8.49648</v>
      </c>
      <c r="G145" s="214">
        <f ca="1" t="shared" si="19"/>
        <v>8.49648</v>
      </c>
      <c r="H145" s="214">
        <f ca="1" t="shared" si="20"/>
        <v>-10.80352</v>
      </c>
      <c r="I145" s="235" t="s">
        <v>86</v>
      </c>
      <c r="J145" s="231"/>
    </row>
    <row r="146" ht="16.5" customHeight="1" spans="1:10">
      <c r="A146" s="208">
        <f>工程量计算稿!A158</f>
        <v>5</v>
      </c>
      <c r="B146" s="209" t="str">
        <f>工程量计算稿!B158</f>
        <v>M7.5砌砖</v>
      </c>
      <c r="C146" s="210" t="str">
        <f>工程量计算稿!C158</f>
        <v>m3</v>
      </c>
      <c r="D146" s="211">
        <f>结算审核明细表!D147</f>
        <v>14.64</v>
      </c>
      <c r="E146" s="212">
        <f>结算审核明细表!I147</f>
        <v>0</v>
      </c>
      <c r="F146" s="213">
        <f ca="1">工程量计算稿!E158</f>
        <v>0</v>
      </c>
      <c r="G146" s="214">
        <f ca="1" t="shared" si="19"/>
        <v>-14.64</v>
      </c>
      <c r="H146" s="214">
        <f ca="1" t="shared" si="20"/>
        <v>0</v>
      </c>
      <c r="I146" s="240"/>
      <c r="J146" s="231"/>
    </row>
    <row r="147" ht="16.5" customHeight="1" spans="1:10">
      <c r="A147" s="208">
        <f>工程量计算稿!A159</f>
        <v>6</v>
      </c>
      <c r="B147" s="209" t="str">
        <f>工程量计算稿!B159</f>
        <v>木模制安</v>
      </c>
      <c r="C147" s="210" t="str">
        <f>工程量计算稿!C159</f>
        <v>m2</v>
      </c>
      <c r="D147" s="211">
        <f>结算审核明细表!D148</f>
        <v>30.93</v>
      </c>
      <c r="E147" s="212">
        <f>结算审核明细表!I148</f>
        <v>206.06</v>
      </c>
      <c r="F147" s="213">
        <f ca="1">工程量计算稿!E159</f>
        <v>175.08</v>
      </c>
      <c r="G147" s="214">
        <f ca="1" t="shared" si="19"/>
        <v>144.15</v>
      </c>
      <c r="H147" s="214">
        <f ca="1" t="shared" si="20"/>
        <v>-30.98</v>
      </c>
      <c r="I147" s="230"/>
      <c r="J147" s="231"/>
    </row>
    <row r="148" ht="16.5" customHeight="1" spans="1:10">
      <c r="A148" s="208">
        <f>工程量计算稿!A160</f>
        <v>7</v>
      </c>
      <c r="B148" s="209" t="str">
        <f>工程量计算稿!B160</f>
        <v>钢筋制安</v>
      </c>
      <c r="C148" s="210" t="str">
        <f>工程量计算稿!C160</f>
        <v>kg</v>
      </c>
      <c r="D148" s="211">
        <f>结算审核明细表!D149</f>
        <v>142.2</v>
      </c>
      <c r="E148" s="218">
        <f>结算审核明细表!I149*1000</f>
        <v>1450</v>
      </c>
      <c r="F148" s="213">
        <f ca="1">工程量计算稿!E160</f>
        <v>1315.59382</v>
      </c>
      <c r="G148" s="214">
        <f ca="1" t="shared" si="19"/>
        <v>1173.39382</v>
      </c>
      <c r="H148" s="214">
        <f ca="1" t="shared" si="20"/>
        <v>-134.40618</v>
      </c>
      <c r="I148" s="230"/>
      <c r="J148" s="231"/>
    </row>
    <row r="149" s="164" customFormat="1" ht="16.5" customHeight="1" spans="1:12">
      <c r="A149" s="208">
        <f>工程量计算稿!A165</f>
        <v>8</v>
      </c>
      <c r="B149" s="209" t="str">
        <f>工程量计算稿!B165</f>
        <v>M10沙浆抹面</v>
      </c>
      <c r="C149" s="210" t="str">
        <f>工程量计算稿!C165</f>
        <v>m2</v>
      </c>
      <c r="D149" s="211">
        <f>结算审核明细表!D150</f>
        <v>65.26</v>
      </c>
      <c r="E149" s="212">
        <f>结算审核明细表!I150</f>
        <v>119.59</v>
      </c>
      <c r="F149" s="213">
        <f ca="1">工程量计算稿!E165</f>
        <v>0</v>
      </c>
      <c r="G149" s="214">
        <f ca="1" t="shared" si="19"/>
        <v>-65.26</v>
      </c>
      <c r="H149" s="214">
        <f ca="1" t="shared" si="20"/>
        <v>-119.59</v>
      </c>
      <c r="I149" s="234"/>
      <c r="J149" s="231"/>
      <c r="K149" s="173"/>
      <c r="L149" s="173"/>
    </row>
    <row r="150" ht="16.5" customHeight="1" spans="1:10">
      <c r="A150" s="208">
        <f>工程量计算稿!A166</f>
        <v>9</v>
      </c>
      <c r="B150" s="209" t="str">
        <f>工程量计算稿!B166</f>
        <v>M10沙浆抹面瓷砖粘贴</v>
      </c>
      <c r="C150" s="210" t="str">
        <f>工程量计算稿!C166</f>
        <v>m2</v>
      </c>
      <c r="D150" s="211">
        <f>结算审核明细表!D151</f>
        <v>8.8</v>
      </c>
      <c r="E150" s="212">
        <f>结算审核明细表!I151</f>
        <v>25.18</v>
      </c>
      <c r="F150" s="213">
        <f ca="1">工程量计算稿!E166</f>
        <v>22.145</v>
      </c>
      <c r="G150" s="214">
        <f ca="1" t="shared" si="19"/>
        <v>13.345</v>
      </c>
      <c r="H150" s="214">
        <f ca="1" t="shared" si="20"/>
        <v>-3.035</v>
      </c>
      <c r="I150" s="230"/>
      <c r="J150" s="231"/>
    </row>
    <row r="151" ht="16.5" customHeight="1" spans="1:9">
      <c r="A151" s="208">
        <f>工程量计算稿!A167</f>
        <v>10</v>
      </c>
      <c r="B151" s="209" t="str">
        <f>工程量计算稿!B167</f>
        <v>人力二次转运材料（运距300米)</v>
      </c>
      <c r="C151" s="210" t="str">
        <f>工程量计算稿!C167</f>
        <v>吨/km</v>
      </c>
      <c r="D151" s="211"/>
      <c r="E151" s="212"/>
      <c r="F151" s="213"/>
      <c r="G151" s="214">
        <f t="shared" si="19"/>
        <v>0</v>
      </c>
      <c r="H151" s="214">
        <f t="shared" si="20"/>
        <v>0</v>
      </c>
      <c r="I151" s="230"/>
    </row>
    <row r="152" ht="16.5" customHeight="1" spans="1:10">
      <c r="A152" s="208">
        <f>工程量计算稿!A168</f>
        <v>11</v>
      </c>
      <c r="B152" s="209" t="str">
        <f>工程量计算稿!B168</f>
        <v>通气进人孔</v>
      </c>
      <c r="C152" s="210" t="str">
        <f>工程量计算稿!C168</f>
        <v>套</v>
      </c>
      <c r="D152" s="211">
        <f>结算审核明细表!D153</f>
        <v>2</v>
      </c>
      <c r="E152" s="212">
        <f>结算审核明细表!I153</f>
        <v>1</v>
      </c>
      <c r="F152" s="213">
        <f ca="1">工程量计算稿!E168</f>
        <v>1</v>
      </c>
      <c r="G152" s="214">
        <f ca="1" t="shared" si="19"/>
        <v>-1</v>
      </c>
      <c r="H152" s="214">
        <f ca="1" t="shared" si="20"/>
        <v>0</v>
      </c>
      <c r="I152" s="230"/>
      <c r="J152" s="231"/>
    </row>
    <row r="153" ht="16.5" customHeight="1" spans="1:10">
      <c r="A153" s="208" t="str">
        <f>工程量计算稿!A169</f>
        <v>新增</v>
      </c>
      <c r="B153" s="209" t="str">
        <f>工程量计算稿!B169</f>
        <v>电力线</v>
      </c>
      <c r="C153" s="210" t="str">
        <f>工程量计算稿!C169</f>
        <v>m</v>
      </c>
      <c r="D153" s="211"/>
      <c r="E153" s="212"/>
      <c r="F153" s="213">
        <f ca="1">工程量计算稿!E169</f>
        <v>150</v>
      </c>
      <c r="G153" s="214">
        <f ca="1" t="shared" si="19"/>
        <v>150</v>
      </c>
      <c r="H153" s="214">
        <f ca="1" t="shared" si="20"/>
        <v>150</v>
      </c>
      <c r="I153" s="230"/>
      <c r="J153" s="231"/>
    </row>
    <row r="154" ht="16.5" customHeight="1" spans="1:10">
      <c r="A154" s="208" t="str">
        <f>工程量计算稿!A170</f>
        <v>新增</v>
      </c>
      <c r="B154" s="209" t="str">
        <f>工程量计算稿!B170</f>
        <v>杀毒器</v>
      </c>
      <c r="C154" s="210" t="str">
        <f>工程量计算稿!C170</f>
        <v>台</v>
      </c>
      <c r="D154" s="211"/>
      <c r="E154" s="212"/>
      <c r="F154" s="213">
        <f ca="1">工程量计算稿!E170</f>
        <v>1</v>
      </c>
      <c r="G154" s="214">
        <f ca="1" t="shared" si="19"/>
        <v>1</v>
      </c>
      <c r="H154" s="214">
        <f ca="1" t="shared" si="20"/>
        <v>1</v>
      </c>
      <c r="I154" s="230"/>
      <c r="J154" s="231"/>
    </row>
    <row r="155" ht="16.5" customHeight="1" spans="1:10">
      <c r="A155" s="208" t="str">
        <f>工程量计算稿!A171</f>
        <v>新增</v>
      </c>
      <c r="B155" s="209" t="str">
        <f>工程量计算稿!B171</f>
        <v>C20砼垫层</v>
      </c>
      <c r="C155" s="210" t="str">
        <f>工程量计算稿!C171</f>
        <v>m3</v>
      </c>
      <c r="D155" s="211"/>
      <c r="E155" s="212">
        <f>结算审核明细表!I156</f>
        <v>1.91</v>
      </c>
      <c r="F155" s="213">
        <f ca="1">工程量计算稿!E171</f>
        <v>1.881</v>
      </c>
      <c r="G155" s="214">
        <f ca="1" t="shared" si="19"/>
        <v>1.881</v>
      </c>
      <c r="H155" s="214">
        <f ca="1" t="shared" si="20"/>
        <v>-0.0289999999999999</v>
      </c>
      <c r="I155" s="230"/>
      <c r="J155" s="231"/>
    </row>
    <row r="156" ht="16.5" customHeight="1" spans="1:10">
      <c r="A156" s="208" t="str">
        <f>工程量计算稿!A172</f>
        <v>新增</v>
      </c>
      <c r="B156" s="209" t="str">
        <f>工程量计算稿!B172</f>
        <v>C20砼地面</v>
      </c>
      <c r="C156" s="210" t="str">
        <f>工程量计算稿!C172</f>
        <v>m3</v>
      </c>
      <c r="D156" s="211"/>
      <c r="E156" s="212">
        <f>结算审核明细表!I157</f>
        <v>1.32</v>
      </c>
      <c r="F156" s="213">
        <f ca="1">工程量计算稿!E172</f>
        <v>1.1094</v>
      </c>
      <c r="G156" s="214">
        <f ca="1" t="shared" si="19"/>
        <v>1.1094</v>
      </c>
      <c r="H156" s="214">
        <f ca="1" t="shared" si="20"/>
        <v>-0.2106</v>
      </c>
      <c r="I156" s="230"/>
      <c r="J156" s="231"/>
    </row>
    <row r="157" ht="16.5" customHeight="1" spans="1:10">
      <c r="A157" s="208" t="str">
        <f>工程量计算稿!A173</f>
        <v>新增</v>
      </c>
      <c r="B157" s="209" t="str">
        <f>工程量计算稿!B173</f>
        <v>爬梯制安</v>
      </c>
      <c r="C157" s="210" t="str">
        <f>工程量计算稿!C173</f>
        <v>步</v>
      </c>
      <c r="D157" s="211"/>
      <c r="E157" s="212">
        <f>结算审核明细表!I158</f>
        <v>9</v>
      </c>
      <c r="F157" s="213">
        <f ca="1">工程量计算稿!E173</f>
        <v>9</v>
      </c>
      <c r="G157" s="214">
        <f ca="1" t="shared" si="19"/>
        <v>9</v>
      </c>
      <c r="H157" s="214">
        <f ca="1" t="shared" si="20"/>
        <v>0</v>
      </c>
      <c r="I157" s="230"/>
      <c r="J157" s="231"/>
    </row>
    <row r="158" ht="16.5" customHeight="1" spans="1:10">
      <c r="A158" s="208" t="str">
        <f>工程量计算稿!A174</f>
        <v>新增</v>
      </c>
      <c r="B158" s="209" t="str">
        <f>工程量计算稿!B174</f>
        <v>脚手架</v>
      </c>
      <c r="C158" s="210" t="str">
        <f>工程量计算稿!C174</f>
        <v>m2</v>
      </c>
      <c r="D158" s="211"/>
      <c r="E158" s="212">
        <f>结算审核明细表!I159</f>
        <v>30.22</v>
      </c>
      <c r="F158" s="213">
        <f ca="1">工程量计算稿!E174</f>
        <v>0</v>
      </c>
      <c r="G158" s="214">
        <f ca="1" t="shared" si="19"/>
        <v>0</v>
      </c>
      <c r="H158" s="214">
        <f ca="1" t="shared" si="20"/>
        <v>-30.22</v>
      </c>
      <c r="I158" s="230"/>
      <c r="J158" s="231"/>
    </row>
    <row r="159" ht="16.5" customHeight="1" spans="1:10">
      <c r="A159" s="208" t="str">
        <f>工程量计算稿!A175</f>
        <v>新增</v>
      </c>
      <c r="B159" s="209" t="str">
        <f>工程量计算稿!B175</f>
        <v>池顶不锈钢护栏</v>
      </c>
      <c r="C159" s="210" t="str">
        <f>工程量计算稿!C175</f>
        <v>m2</v>
      </c>
      <c r="D159" s="211"/>
      <c r="E159" s="212">
        <f>结算审核明细表!I160</f>
        <v>36</v>
      </c>
      <c r="F159" s="213">
        <f ca="1">工程量计算稿!E175</f>
        <v>35.7</v>
      </c>
      <c r="G159" s="214">
        <f ca="1" t="shared" si="19"/>
        <v>35.7</v>
      </c>
      <c r="H159" s="214">
        <f ca="1" t="shared" si="20"/>
        <v>-0.299999999999997</v>
      </c>
      <c r="I159" s="230"/>
      <c r="J159" s="231"/>
    </row>
    <row r="160" ht="16.5" customHeight="1" spans="1:10">
      <c r="A160" s="208" t="str">
        <f>工程量计算稿!A176</f>
        <v>新增</v>
      </c>
      <c r="B160" s="209" t="str">
        <f>工程量计算稿!B176</f>
        <v>饮水安全标志牌</v>
      </c>
      <c r="C160" s="210" t="str">
        <f>工程量计算稿!C176</f>
        <v>个</v>
      </c>
      <c r="D160" s="211"/>
      <c r="E160" s="212">
        <f>结算审核明细表!I161</f>
        <v>1</v>
      </c>
      <c r="F160" s="213">
        <f ca="1">工程量计算稿!E176</f>
        <v>1</v>
      </c>
      <c r="G160" s="214">
        <f ca="1" t="shared" si="19"/>
        <v>1</v>
      </c>
      <c r="H160" s="214">
        <f ca="1" t="shared" si="20"/>
        <v>0</v>
      </c>
      <c r="I160" s="230"/>
      <c r="J160" s="231"/>
    </row>
    <row r="161" ht="16.5" customHeight="1" spans="1:10">
      <c r="A161" s="208" t="str">
        <f>工程量计算稿!A177</f>
        <v>新增</v>
      </c>
      <c r="B161" s="209" t="str">
        <f>工程量计算稿!B177</f>
        <v>干砌块石堡坎</v>
      </c>
      <c r="C161" s="210" t="str">
        <f>工程量计算稿!C177</f>
        <v>m3</v>
      </c>
      <c r="D161" s="211"/>
      <c r="E161" s="212">
        <f>结算审核明细表!I162</f>
        <v>12.51</v>
      </c>
      <c r="F161" s="213">
        <f ca="1">工程量计算稿!E177</f>
        <v>12.4155</v>
      </c>
      <c r="G161" s="214">
        <f ca="1" t="shared" si="19"/>
        <v>12.4155</v>
      </c>
      <c r="H161" s="214">
        <f ca="1" t="shared" si="20"/>
        <v>-0.0945</v>
      </c>
      <c r="I161" s="234"/>
      <c r="J161" s="231"/>
    </row>
    <row r="162" ht="16.5" customHeight="1" spans="1:9">
      <c r="A162" s="201" t="str">
        <f>工程量计算稿!A178</f>
        <v>（二）</v>
      </c>
      <c r="B162" s="202" t="str">
        <f>工程量计算稿!B178</f>
        <v>过滤池（集水池工程）</v>
      </c>
      <c r="C162" s="203"/>
      <c r="D162" s="204"/>
      <c r="E162" s="205"/>
      <c r="F162" s="206"/>
      <c r="G162" s="207"/>
      <c r="H162" s="207"/>
      <c r="I162" s="229"/>
    </row>
    <row r="163" ht="16.5" customHeight="1" spans="1:10">
      <c r="A163" s="208">
        <f>工程量计算稿!A179</f>
        <v>1</v>
      </c>
      <c r="B163" s="209" t="str">
        <f>工程量计算稿!B179</f>
        <v>土方开挖</v>
      </c>
      <c r="C163" s="210" t="str">
        <f>工程量计算稿!C179</f>
        <v>m3</v>
      </c>
      <c r="D163" s="211"/>
      <c r="E163" s="212">
        <f>结算审核明细表!I164</f>
        <v>2.27</v>
      </c>
      <c r="F163" s="213">
        <f ca="1">工程量计算稿!E179</f>
        <v>2.268</v>
      </c>
      <c r="G163" s="214">
        <f ca="1" t="shared" ref="G163:G172" si="21">F163-D163</f>
        <v>2.268</v>
      </c>
      <c r="H163" s="214">
        <f ca="1" t="shared" ref="H163:H172" si="22">F163-E163</f>
        <v>-0.00199999999999978</v>
      </c>
      <c r="I163" s="230"/>
      <c r="J163" s="231"/>
    </row>
    <row r="164" ht="16.5" customHeight="1" spans="1:10">
      <c r="A164" s="208">
        <f>工程量计算稿!A180</f>
        <v>2</v>
      </c>
      <c r="B164" s="209" t="str">
        <f>工程量计算稿!B180</f>
        <v>C25混凝土底板浇筑【资料C20】</v>
      </c>
      <c r="C164" s="210" t="str">
        <f>工程量计算稿!C180</f>
        <v>m3</v>
      </c>
      <c r="D164" s="211"/>
      <c r="E164" s="212">
        <f>结算审核明细表!I165</f>
        <v>0.34</v>
      </c>
      <c r="F164" s="213">
        <f ca="1">工程量计算稿!E180</f>
        <v>0.34</v>
      </c>
      <c r="G164" s="214">
        <f ca="1" t="shared" si="21"/>
        <v>0.34</v>
      </c>
      <c r="H164" s="214">
        <f ca="1" t="shared" si="22"/>
        <v>0</v>
      </c>
      <c r="I164" s="230"/>
      <c r="J164" s="231"/>
    </row>
    <row r="165" ht="16.5" customHeight="1" spans="1:10">
      <c r="A165" s="208">
        <f>工程量计算稿!A181</f>
        <v>3</v>
      </c>
      <c r="B165" s="209" t="str">
        <f>工程量计算稿!B181</f>
        <v>C25混凝土顶板浇筑</v>
      </c>
      <c r="C165" s="210" t="str">
        <f>工程量计算稿!C181</f>
        <v>m3</v>
      </c>
      <c r="D165" s="211"/>
      <c r="E165" s="212">
        <f>结算审核明细表!I166</f>
        <v>0.24</v>
      </c>
      <c r="F165" s="213">
        <f ca="1">工程量计算稿!E181</f>
        <v>0.238</v>
      </c>
      <c r="G165" s="214">
        <f ca="1" t="shared" si="21"/>
        <v>0.238</v>
      </c>
      <c r="H165" s="214">
        <f ca="1" t="shared" si="22"/>
        <v>-0.00199999999999997</v>
      </c>
      <c r="I165" s="230"/>
      <c r="J165" s="231"/>
    </row>
    <row r="166" s="164" customFormat="1" ht="16.5" customHeight="1" spans="1:12">
      <c r="A166" s="208">
        <f>工程量计算稿!A182</f>
        <v>4</v>
      </c>
      <c r="B166" s="209" t="str">
        <f>工程量计算稿!B182</f>
        <v>M7.5砖砌</v>
      </c>
      <c r="C166" s="210" t="str">
        <f>工程量计算稿!C182</f>
        <v>m3</v>
      </c>
      <c r="D166" s="211"/>
      <c r="E166" s="212">
        <f>结算审核明细表!I167</f>
        <v>1.24</v>
      </c>
      <c r="F166" s="213">
        <f ca="1">工程量计算稿!E182</f>
        <v>4.508</v>
      </c>
      <c r="G166" s="214">
        <f ca="1" t="shared" si="21"/>
        <v>4.508</v>
      </c>
      <c r="H166" s="214">
        <f ca="1" t="shared" si="22"/>
        <v>3.268</v>
      </c>
      <c r="I166" s="230"/>
      <c r="J166" s="231"/>
      <c r="K166" s="173"/>
      <c r="L166" s="173"/>
    </row>
    <row r="167" ht="16.5" customHeight="1" spans="1:10">
      <c r="A167" s="208">
        <f>工程量计算稿!A183</f>
        <v>5</v>
      </c>
      <c r="B167" s="209" t="str">
        <f>工程量计算稿!B183</f>
        <v>木模制安</v>
      </c>
      <c r="C167" s="210" t="str">
        <f>工程量计算稿!C183</f>
        <v>m2</v>
      </c>
      <c r="D167" s="211"/>
      <c r="E167" s="212">
        <f>结算审核明细表!I168</f>
        <v>2.37</v>
      </c>
      <c r="F167" s="213">
        <f ca="1">工程量计算稿!E183</f>
        <v>2.3724</v>
      </c>
      <c r="G167" s="214">
        <f ca="1" t="shared" si="21"/>
        <v>2.3724</v>
      </c>
      <c r="H167" s="214">
        <f ca="1" t="shared" si="22"/>
        <v>0.00240000000000018</v>
      </c>
      <c r="I167" s="230"/>
      <c r="J167" s="231"/>
    </row>
    <row r="168" ht="16.5" customHeight="1" spans="1:10">
      <c r="A168" s="208">
        <f>工程量计算稿!A184</f>
        <v>6</v>
      </c>
      <c r="B168" s="209" t="str">
        <f>工程量计算稿!B184</f>
        <v>钢筋制安</v>
      </c>
      <c r="C168" s="210" t="str">
        <f>工程量计算稿!C184</f>
        <v>kg</v>
      </c>
      <c r="D168" s="211"/>
      <c r="E168" s="218">
        <f>结算审核明细表!I169*1000</f>
        <v>20</v>
      </c>
      <c r="F168" s="213">
        <f ca="1">工程量计算稿!E184</f>
        <v>35.392</v>
      </c>
      <c r="G168" s="214">
        <f ca="1" t="shared" si="21"/>
        <v>35.392</v>
      </c>
      <c r="H168" s="214">
        <f ca="1" t="shared" si="22"/>
        <v>15.392</v>
      </c>
      <c r="I168" s="230"/>
      <c r="J168" s="231"/>
    </row>
    <row r="169" s="164" customFormat="1" ht="16.5" customHeight="1" spans="1:12">
      <c r="A169" s="208">
        <f>工程量计算稿!A185</f>
        <v>7</v>
      </c>
      <c r="B169" s="209" t="str">
        <f>工程量计算稿!B185</f>
        <v>M10沙浆抹面</v>
      </c>
      <c r="C169" s="210" t="str">
        <f>工程量计算稿!C185</f>
        <v>m2</v>
      </c>
      <c r="D169" s="211"/>
      <c r="E169" s="212">
        <f>结算审核明细表!I170</f>
        <v>5.7</v>
      </c>
      <c r="F169" s="213">
        <f ca="1">工程量计算稿!E185</f>
        <v>5.6992</v>
      </c>
      <c r="G169" s="214">
        <f ca="1" t="shared" si="21"/>
        <v>5.6992</v>
      </c>
      <c r="H169" s="214">
        <f ca="1" t="shared" si="22"/>
        <v>-0.000799999999999912</v>
      </c>
      <c r="I169" s="230"/>
      <c r="J169" s="231"/>
      <c r="K169" s="173"/>
      <c r="L169" s="173"/>
    </row>
    <row r="170" ht="16.5" customHeight="1" spans="1:10">
      <c r="A170" s="208">
        <f>工程量计算稿!A186</f>
        <v>8</v>
      </c>
      <c r="B170" s="209" t="str">
        <f>工程量计算稿!B186</f>
        <v>砂石滤料</v>
      </c>
      <c r="C170" s="210" t="str">
        <f>工程量计算稿!C186</f>
        <v>m3</v>
      </c>
      <c r="D170" s="211"/>
      <c r="E170" s="212">
        <f>结算审核明细表!I171</f>
        <v>1.58</v>
      </c>
      <c r="F170" s="213">
        <f ca="1">工程量计算稿!E186</f>
        <v>1.11264</v>
      </c>
      <c r="G170" s="214">
        <f ca="1" t="shared" si="21"/>
        <v>1.11264</v>
      </c>
      <c r="H170" s="214">
        <f ca="1" t="shared" si="22"/>
        <v>-0.46736</v>
      </c>
      <c r="I170" s="230"/>
      <c r="J170" s="231"/>
    </row>
    <row r="171" ht="16.5" customHeight="1" spans="1:10">
      <c r="A171" s="208" t="str">
        <f>工程量计算稿!A187</f>
        <v>新增</v>
      </c>
      <c r="B171" s="209" t="str">
        <f>工程量计算稿!B187</f>
        <v>石方开挖</v>
      </c>
      <c r="C171" s="210" t="str">
        <f>工程量计算稿!C187</f>
        <v>m3</v>
      </c>
      <c r="D171" s="211"/>
      <c r="E171" s="212">
        <f>结算审核明细表!I172</f>
        <v>1.51</v>
      </c>
      <c r="F171" s="213">
        <f ca="1">工程量计算稿!E187</f>
        <v>1.512</v>
      </c>
      <c r="G171" s="214">
        <f ca="1" t="shared" si="21"/>
        <v>1.512</v>
      </c>
      <c r="H171" s="214">
        <f ca="1" t="shared" si="22"/>
        <v>0.00200000000000022</v>
      </c>
      <c r="I171" s="230"/>
      <c r="J171" s="231"/>
    </row>
    <row r="172" ht="16.5" customHeight="1" spans="1:10">
      <c r="A172" s="208" t="str">
        <f>工程量计算稿!A188</f>
        <v>新增</v>
      </c>
      <c r="B172" s="209" t="str">
        <f>工程量计算稿!B188</f>
        <v>土石方回填</v>
      </c>
      <c r="C172" s="210" t="str">
        <f>工程量计算稿!C188</f>
        <v>m3</v>
      </c>
      <c r="D172" s="211"/>
      <c r="E172" s="212">
        <f>结算审核明细表!I173</f>
        <v>1.55</v>
      </c>
      <c r="F172" s="213">
        <f ca="1">工程量计算稿!E188</f>
        <v>1.554</v>
      </c>
      <c r="G172" s="214">
        <f ca="1" t="shared" si="21"/>
        <v>1.554</v>
      </c>
      <c r="H172" s="214">
        <f ca="1" t="shared" si="22"/>
        <v>0.004</v>
      </c>
      <c r="I172" s="230"/>
      <c r="J172" s="231"/>
    </row>
    <row r="173" ht="16.5" customHeight="1" spans="1:9">
      <c r="A173" s="201" t="str">
        <f>工程量计算稿!A189</f>
        <v>（三）</v>
      </c>
      <c r="B173" s="202" t="str">
        <f>工程量计算稿!B189</f>
        <v>3m蓄水池厂区工程（刘家湾、张家梁）</v>
      </c>
      <c r="C173" s="203"/>
      <c r="D173" s="204"/>
      <c r="E173" s="205"/>
      <c r="F173" s="206"/>
      <c r="G173" s="207"/>
      <c r="H173" s="207"/>
      <c r="I173" s="229"/>
    </row>
    <row r="174" ht="16.5" customHeight="1" spans="1:10">
      <c r="A174" s="208">
        <f>工程量计算稿!A190</f>
        <v>1</v>
      </c>
      <c r="B174" s="209" t="str">
        <f>工程量计算稿!B190</f>
        <v>C25砼厂区硬化</v>
      </c>
      <c r="C174" s="210" t="str">
        <f>工程量计算稿!C190</f>
        <v>m3</v>
      </c>
      <c r="D174" s="211">
        <f>结算审核明细表!D175</f>
        <v>11.4</v>
      </c>
      <c r="E174" s="212">
        <f>结算审核明细表!I175</f>
        <v>0</v>
      </c>
      <c r="F174" s="213">
        <f ca="1">工程量计算稿!E190</f>
        <v>0</v>
      </c>
      <c r="G174" s="214">
        <f ca="1" t="shared" ref="G174:G180" si="23">F174-D174</f>
        <v>-11.4</v>
      </c>
      <c r="H174" s="214">
        <f ca="1" t="shared" ref="H174:H180" si="24">F174-E174</f>
        <v>0</v>
      </c>
      <c r="I174" s="230"/>
      <c r="J174" s="231"/>
    </row>
    <row r="175" ht="16.5" customHeight="1" spans="1:10">
      <c r="A175" s="208">
        <f>工程量计算稿!A191</f>
        <v>2</v>
      </c>
      <c r="B175" s="209" t="str">
        <f>工程量计算稿!B191</f>
        <v>C25圈梁基础</v>
      </c>
      <c r="C175" s="210" t="str">
        <f>工程量计算稿!C191</f>
        <v>m3</v>
      </c>
      <c r="D175" s="211">
        <f>结算审核明细表!D176</f>
        <v>2.88</v>
      </c>
      <c r="E175" s="212">
        <f>结算审核明细表!I176</f>
        <v>0</v>
      </c>
      <c r="F175" s="213">
        <f ca="1">工程量计算稿!E191</f>
        <v>0</v>
      </c>
      <c r="G175" s="214">
        <f ca="1" t="shared" si="23"/>
        <v>-2.88</v>
      </c>
      <c r="H175" s="214">
        <f ca="1" t="shared" si="24"/>
        <v>0</v>
      </c>
      <c r="I175" s="230"/>
      <c r="J175" s="231"/>
    </row>
    <row r="176" ht="16.5" customHeight="1" spans="1:10">
      <c r="A176" s="208">
        <f>工程量计算稿!A192</f>
        <v>3</v>
      </c>
      <c r="B176" s="209" t="str">
        <f>工程量计算稿!B192</f>
        <v>钢筋制安</v>
      </c>
      <c r="C176" s="210" t="str">
        <f>工程量计算稿!C192</f>
        <v>kg</v>
      </c>
      <c r="D176" s="211">
        <f>结算审核明细表!D177</f>
        <v>85.28</v>
      </c>
      <c r="E176" s="218">
        <f>结算审核明细表!I177*1000</f>
        <v>0</v>
      </c>
      <c r="F176" s="213">
        <f ca="1">工程量计算稿!E192</f>
        <v>0</v>
      </c>
      <c r="G176" s="214">
        <f ca="1" t="shared" si="23"/>
        <v>-85.28</v>
      </c>
      <c r="H176" s="214">
        <f ca="1" t="shared" si="24"/>
        <v>0</v>
      </c>
      <c r="I176" s="230"/>
      <c r="J176" s="231"/>
    </row>
    <row r="177" ht="16.5" customHeight="1" spans="1:10">
      <c r="A177" s="208">
        <f>工程量计算稿!A193</f>
        <v>4</v>
      </c>
      <c r="B177" s="209" t="str">
        <f>工程量计算稿!B193</f>
        <v>M7.5砖砌围墙</v>
      </c>
      <c r="C177" s="210" t="str">
        <f>工程量计算稿!C193</f>
        <v>m3</v>
      </c>
      <c r="D177" s="211">
        <f>结算审核明细表!D178</f>
        <v>15.1</v>
      </c>
      <c r="E177" s="212">
        <f>结算审核明细表!I178</f>
        <v>0</v>
      </c>
      <c r="F177" s="213">
        <f ca="1">工程量计算稿!E193</f>
        <v>0</v>
      </c>
      <c r="G177" s="214">
        <f ca="1" t="shared" si="23"/>
        <v>-15.1</v>
      </c>
      <c r="H177" s="214">
        <f ca="1" t="shared" si="24"/>
        <v>0</v>
      </c>
      <c r="I177" s="230"/>
      <c r="J177" s="231"/>
    </row>
    <row r="178" ht="16.5" customHeight="1" spans="1:10">
      <c r="A178" s="208">
        <f>工程量计算稿!A194</f>
        <v>5</v>
      </c>
      <c r="B178" s="209" t="str">
        <f>工程量计算稿!B194</f>
        <v>墙面瓷砖粘贴</v>
      </c>
      <c r="C178" s="210" t="str">
        <f>工程量计算稿!C194</f>
        <v>m2</v>
      </c>
      <c r="D178" s="211">
        <f>结算审核明细表!D179</f>
        <v>144.62</v>
      </c>
      <c r="E178" s="212">
        <f>结算审核明细表!I179</f>
        <v>0</v>
      </c>
      <c r="F178" s="213">
        <f ca="1">工程量计算稿!E194</f>
        <v>0</v>
      </c>
      <c r="G178" s="214">
        <f ca="1" t="shared" si="23"/>
        <v>-144.62</v>
      </c>
      <c r="H178" s="214">
        <f ca="1" t="shared" si="24"/>
        <v>0</v>
      </c>
      <c r="I178" s="230"/>
      <c r="J178" s="231"/>
    </row>
    <row r="179" ht="16.5" customHeight="1" spans="1:10">
      <c r="A179" s="208">
        <f>工程量计算稿!A195</f>
        <v>6</v>
      </c>
      <c r="B179" s="209" t="str">
        <f>工程量计算稿!B195</f>
        <v>不锈钢大门</v>
      </c>
      <c r="C179" s="210" t="str">
        <f>工程量计算稿!C195</f>
        <v>m2</v>
      </c>
      <c r="D179" s="211">
        <f>结算审核明细表!D180</f>
        <v>12.5</v>
      </c>
      <c r="E179" s="212">
        <f>结算审核明细表!I180</f>
        <v>0</v>
      </c>
      <c r="F179" s="213">
        <f ca="1">工程量计算稿!E195</f>
        <v>0</v>
      </c>
      <c r="G179" s="214">
        <f ca="1" t="shared" si="23"/>
        <v>-12.5</v>
      </c>
      <c r="H179" s="214">
        <f ca="1" t="shared" si="24"/>
        <v>0</v>
      </c>
      <c r="I179" s="230"/>
      <c r="J179" s="231"/>
    </row>
    <row r="180" ht="16.5" customHeight="1" spans="1:10">
      <c r="A180" s="208">
        <f>工程量计算稿!A196</f>
        <v>7</v>
      </c>
      <c r="B180" s="209" t="str">
        <f>工程量计算稿!B196</f>
        <v>不锈钢护栏</v>
      </c>
      <c r="C180" s="210" t="str">
        <f>工程量计算稿!C196</f>
        <v>m2</v>
      </c>
      <c r="D180" s="211">
        <f>结算审核明细表!D181</f>
        <v>89.76</v>
      </c>
      <c r="E180" s="212">
        <f>结算审核明细表!I181</f>
        <v>0</v>
      </c>
      <c r="F180" s="213">
        <f ca="1">工程量计算稿!E196</f>
        <v>0</v>
      </c>
      <c r="G180" s="214">
        <f ca="1" t="shared" si="23"/>
        <v>-89.76</v>
      </c>
      <c r="H180" s="214">
        <f ca="1" t="shared" si="24"/>
        <v>0</v>
      </c>
      <c r="I180" s="230"/>
      <c r="J180" s="231"/>
    </row>
    <row r="181" ht="16.5" customHeight="1" spans="1:9">
      <c r="A181" s="201" t="str">
        <f>工程量计算稿!A197</f>
        <v>（四）</v>
      </c>
      <c r="B181" s="202" t="str">
        <f>工程量计算稿!B197</f>
        <v>闸室工程</v>
      </c>
      <c r="C181" s="203"/>
      <c r="D181" s="204"/>
      <c r="E181" s="205"/>
      <c r="F181" s="206"/>
      <c r="G181" s="207"/>
      <c r="H181" s="207"/>
      <c r="I181" s="229"/>
    </row>
    <row r="182" ht="16.5" customHeight="1" spans="1:10">
      <c r="A182" s="208">
        <f>工程量计算稿!A198</f>
        <v>1</v>
      </c>
      <c r="B182" s="209" t="str">
        <f>工程量计算稿!B198</f>
        <v>土方开挖</v>
      </c>
      <c r="C182" s="210" t="str">
        <f>工程量计算稿!C198</f>
        <v>m3</v>
      </c>
      <c r="D182" s="211"/>
      <c r="E182" s="212">
        <f>结算审核明细表!I183</f>
        <v>2.02</v>
      </c>
      <c r="F182" s="213">
        <f ca="1">工程量计算稿!E198</f>
        <v>1.836</v>
      </c>
      <c r="G182" s="214">
        <f ca="1" t="shared" ref="G182:G190" si="25">F182-D182</f>
        <v>1.836</v>
      </c>
      <c r="H182" s="214">
        <f ca="1" t="shared" ref="H182:H190" si="26">F182-E182</f>
        <v>-0.184</v>
      </c>
      <c r="I182" s="230"/>
      <c r="J182" s="231"/>
    </row>
    <row r="183" ht="16.5" customHeight="1" spans="1:10">
      <c r="A183" s="208">
        <f>工程量计算稿!A199</f>
        <v>2</v>
      </c>
      <c r="B183" s="209" t="str">
        <f>工程量计算稿!B199</f>
        <v>石方开挖</v>
      </c>
      <c r="C183" s="210" t="str">
        <f>工程量计算稿!C199</f>
        <v>m3</v>
      </c>
      <c r="D183" s="211"/>
      <c r="E183" s="212">
        <f>结算审核明细表!I184</f>
        <v>1.35</v>
      </c>
      <c r="F183" s="213">
        <f ca="1">工程量计算稿!E199</f>
        <v>1.224</v>
      </c>
      <c r="G183" s="214">
        <f ca="1" t="shared" si="25"/>
        <v>1.224</v>
      </c>
      <c r="H183" s="214">
        <f ca="1" t="shared" si="26"/>
        <v>-0.126</v>
      </c>
      <c r="I183" s="230"/>
      <c r="J183" s="231"/>
    </row>
    <row r="184" ht="16.5" customHeight="1" spans="1:10">
      <c r="A184" s="208">
        <f>工程量计算稿!A200</f>
        <v>3</v>
      </c>
      <c r="B184" s="209" t="str">
        <f>工程量计算稿!B200</f>
        <v>土石方回填</v>
      </c>
      <c r="C184" s="210" t="str">
        <f>工程量计算稿!C200</f>
        <v>m3</v>
      </c>
      <c r="D184" s="211"/>
      <c r="E184" s="212">
        <f>结算审核明细表!I185</f>
        <v>0.66</v>
      </c>
      <c r="F184" s="213">
        <f ca="1">工程量计算稿!E200</f>
        <v>0.66</v>
      </c>
      <c r="G184" s="214">
        <f ca="1" t="shared" si="25"/>
        <v>0.66</v>
      </c>
      <c r="H184" s="214">
        <f ca="1" t="shared" si="26"/>
        <v>0</v>
      </c>
      <c r="I184" s="230"/>
      <c r="J184" s="231"/>
    </row>
    <row r="185" s="164" customFormat="1" ht="16.5" customHeight="1" spans="1:12">
      <c r="A185" s="208">
        <f>工程量计算稿!A201</f>
        <v>4</v>
      </c>
      <c r="B185" s="209" t="str">
        <f>工程量计算稿!B201</f>
        <v>C25混凝土底板浇筑</v>
      </c>
      <c r="C185" s="210" t="str">
        <f>工程量计算稿!C201</f>
        <v>m3</v>
      </c>
      <c r="D185" s="211"/>
      <c r="E185" s="212">
        <f>结算审核明细表!I186</f>
        <v>0.41</v>
      </c>
      <c r="F185" s="213">
        <f ca="1">工程量计算稿!E201</f>
        <v>0.408</v>
      </c>
      <c r="G185" s="214">
        <f ca="1" t="shared" si="25"/>
        <v>0.408</v>
      </c>
      <c r="H185" s="214">
        <f ca="1" t="shared" si="26"/>
        <v>-0.00199999999999995</v>
      </c>
      <c r="I185" s="230"/>
      <c r="J185" s="231"/>
      <c r="K185" s="173"/>
      <c r="L185" s="173"/>
    </row>
    <row r="186" ht="16.5" customHeight="1" spans="1:10">
      <c r="A186" s="208">
        <f>工程量计算稿!A202</f>
        <v>5</v>
      </c>
      <c r="B186" s="209" t="str">
        <f>工程量计算稿!B202</f>
        <v>M7.5砖砌围墙</v>
      </c>
      <c r="C186" s="210" t="str">
        <f>工程量计算稿!C202</f>
        <v>m3</v>
      </c>
      <c r="D186" s="211"/>
      <c r="E186" s="212">
        <f>结算审核明细表!I187</f>
        <v>1.58</v>
      </c>
      <c r="F186" s="213">
        <f ca="1">工程量计算稿!E202</f>
        <v>0.94752</v>
      </c>
      <c r="G186" s="214">
        <f ca="1" t="shared" si="25"/>
        <v>0.94752</v>
      </c>
      <c r="H186" s="214">
        <f ca="1" t="shared" si="26"/>
        <v>-0.63248</v>
      </c>
      <c r="I186" s="230"/>
      <c r="J186" s="231"/>
    </row>
    <row r="187" ht="16.5" customHeight="1" spans="1:10">
      <c r="A187" s="208">
        <f>工程量计算稿!A203</f>
        <v>6</v>
      </c>
      <c r="B187" s="209" t="str">
        <f>工程量计算稿!B203</f>
        <v>M10沙浆抹面</v>
      </c>
      <c r="C187" s="210" t="str">
        <f>工程量计算稿!C203</f>
        <v>m2</v>
      </c>
      <c r="D187" s="211"/>
      <c r="E187" s="212">
        <f>结算审核明细表!I188</f>
        <v>7.68</v>
      </c>
      <c r="F187" s="213">
        <f ca="1">工程量计算稿!E203</f>
        <v>6.2712</v>
      </c>
      <c r="G187" s="214">
        <f ca="1" t="shared" si="25"/>
        <v>6.2712</v>
      </c>
      <c r="H187" s="214">
        <f ca="1" t="shared" si="26"/>
        <v>-1.4088</v>
      </c>
      <c r="I187" s="230"/>
      <c r="J187" s="231"/>
    </row>
    <row r="188" ht="16.5" customHeight="1" spans="1:10">
      <c r="A188" s="208" t="str">
        <f>工程量计算稿!A204</f>
        <v>新增</v>
      </c>
      <c r="B188" s="209" t="str">
        <f>工程量计算稿!B204</f>
        <v>C25混凝土顶板浇筑</v>
      </c>
      <c r="C188" s="210" t="str">
        <f>工程量计算稿!C204</f>
        <v>m3</v>
      </c>
      <c r="D188" s="211"/>
      <c r="E188" s="212">
        <f>结算审核明细表!I189</f>
        <v>0.19</v>
      </c>
      <c r="F188" s="213">
        <f ca="1">工程量计算稿!E204</f>
        <v>0.136</v>
      </c>
      <c r="G188" s="214">
        <f ca="1" t="shared" si="25"/>
        <v>0.136</v>
      </c>
      <c r="H188" s="214">
        <f ca="1" t="shared" si="26"/>
        <v>-0.054</v>
      </c>
      <c r="I188" s="230"/>
      <c r="J188" s="231"/>
    </row>
    <row r="189" ht="16.5" customHeight="1" spans="1:10">
      <c r="A189" s="208" t="str">
        <f>工程量计算稿!A205</f>
        <v>新增</v>
      </c>
      <c r="B189" s="209" t="str">
        <f>工程量计算稿!B205</f>
        <v>木模制安</v>
      </c>
      <c r="C189" s="210" t="str">
        <f>工程量计算稿!C205</f>
        <v>m2</v>
      </c>
      <c r="D189" s="211"/>
      <c r="E189" s="212">
        <f>结算审核明细表!I190</f>
        <v>1.83</v>
      </c>
      <c r="F189" s="213">
        <f ca="1">工程量计算稿!E205</f>
        <v>0.33</v>
      </c>
      <c r="G189" s="214">
        <f ca="1" t="shared" si="25"/>
        <v>0.33</v>
      </c>
      <c r="H189" s="214">
        <f ca="1" t="shared" si="26"/>
        <v>-1.5</v>
      </c>
      <c r="I189" s="230"/>
      <c r="J189" s="231"/>
    </row>
    <row r="190" ht="16.5" customHeight="1" spans="1:10">
      <c r="A190" s="208" t="str">
        <f>工程量计算稿!A206</f>
        <v>新增</v>
      </c>
      <c r="B190" s="209" t="str">
        <f>工程量计算稿!B206</f>
        <v>钢筋制安</v>
      </c>
      <c r="C190" s="210" t="str">
        <f>工程量计算稿!C206</f>
        <v>kg</v>
      </c>
      <c r="D190" s="211"/>
      <c r="E190" s="218">
        <f>结算审核明细表!I191*1000</f>
        <v>20</v>
      </c>
      <c r="F190" s="213">
        <f ca="1">工程量计算稿!E206</f>
        <v>29.2142</v>
      </c>
      <c r="G190" s="214">
        <f ca="1" t="shared" si="25"/>
        <v>29.2142</v>
      </c>
      <c r="H190" s="214">
        <f ca="1" t="shared" si="26"/>
        <v>9.2142</v>
      </c>
      <c r="I190" s="230"/>
      <c r="J190" s="231"/>
    </row>
    <row r="191" ht="16.5" customHeight="1" spans="1:9">
      <c r="A191" s="201" t="str">
        <f>工程量计算稿!A207</f>
        <v>（五）</v>
      </c>
      <c r="B191" s="202" t="str">
        <f>工程量计算稿!B207</f>
        <v>建筑材料人力二次运输</v>
      </c>
      <c r="C191" s="203" t="str">
        <f>工程量计算稿!C207</f>
        <v/>
      </c>
      <c r="D191" s="204"/>
      <c r="E191" s="205"/>
      <c r="F191" s="206"/>
      <c r="G191" s="207"/>
      <c r="H191" s="207"/>
      <c r="I191" s="229"/>
    </row>
    <row r="192" ht="16.5" customHeight="1" spans="1:9">
      <c r="A192" s="208">
        <f>工程量计算稿!A208</f>
        <v>1</v>
      </c>
      <c r="B192" s="209" t="str">
        <f>工程量计算稿!B208</f>
        <v>人力二次转运材料100米</v>
      </c>
      <c r="C192" s="210" t="str">
        <f>工程量计算稿!C208</f>
        <v>t/km</v>
      </c>
      <c r="D192" s="211">
        <f>结算审核明细表!D193</f>
        <v>0</v>
      </c>
      <c r="E192" s="212">
        <f>结算审核明细表!I193</f>
        <v>0</v>
      </c>
      <c r="F192" s="213">
        <f>工程量计算稿!E208</f>
        <v>0</v>
      </c>
      <c r="G192" s="214">
        <f t="shared" ref="G155:G214" si="27">F192-D192</f>
        <v>0</v>
      </c>
      <c r="H192" s="214">
        <f t="shared" ref="H155:H214" si="28">F192-E192</f>
        <v>0</v>
      </c>
      <c r="I192" s="230"/>
    </row>
    <row r="193" ht="16.5" customHeight="1" spans="1:9">
      <c r="A193" s="208">
        <f>工程量计算稿!A209</f>
        <v>2</v>
      </c>
      <c r="B193" s="209" t="str">
        <f>工程量计算稿!B209</f>
        <v>水泥</v>
      </c>
      <c r="C193" s="210" t="str">
        <f>工程量计算稿!C209</f>
        <v>t</v>
      </c>
      <c r="D193" s="211"/>
      <c r="E193" s="212">
        <f>结算审核明细表!I194</f>
        <v>13.49</v>
      </c>
      <c r="F193" s="213">
        <f ca="1">工程量计算稿!E209</f>
        <v>8.342622739908</v>
      </c>
      <c r="G193" s="214">
        <f ca="1" t="shared" si="27"/>
        <v>8.342622739908</v>
      </c>
      <c r="H193" s="214">
        <f ca="1" t="shared" si="28"/>
        <v>-5.147377260092</v>
      </c>
      <c r="I193" s="230"/>
    </row>
    <row r="194" ht="16.5" customHeight="1" spans="1:9">
      <c r="A194" s="208">
        <f>工程量计算稿!A210</f>
        <v>3</v>
      </c>
      <c r="B194" s="209" t="str">
        <f>工程量计算稿!B210</f>
        <v>砂</v>
      </c>
      <c r="C194" s="210" t="str">
        <f>工程量计算稿!C210</f>
        <v>m3</v>
      </c>
      <c r="D194" s="211"/>
      <c r="E194" s="212">
        <f>结算审核明细表!I195</f>
        <v>20.59</v>
      </c>
      <c r="F194" s="213">
        <f ca="1">工程量计算稿!E210</f>
        <v>12.79654972</v>
      </c>
      <c r="G194" s="214">
        <f ca="1" t="shared" si="27"/>
        <v>12.79654972</v>
      </c>
      <c r="H194" s="214">
        <f ca="1" t="shared" si="28"/>
        <v>-7.79345028</v>
      </c>
      <c r="I194" s="230"/>
    </row>
    <row r="195" ht="16.5" customHeight="1" spans="1:9">
      <c r="A195" s="208">
        <f>工程量计算稿!A211</f>
        <v>4</v>
      </c>
      <c r="B195" s="209" t="str">
        <f>工程量计算稿!B211</f>
        <v>碎石</v>
      </c>
      <c r="C195" s="210" t="str">
        <f>工程量计算稿!C211</f>
        <v>m3</v>
      </c>
      <c r="D195" s="211"/>
      <c r="E195" s="212">
        <f>结算审核明细表!I196</f>
        <v>29.42</v>
      </c>
      <c r="F195" s="213">
        <f ca="1">工程量计算稿!E211</f>
        <v>19.179932768</v>
      </c>
      <c r="G195" s="214">
        <f ca="1" t="shared" si="27"/>
        <v>19.179932768</v>
      </c>
      <c r="H195" s="214">
        <f ca="1" t="shared" si="28"/>
        <v>-10.240067232</v>
      </c>
      <c r="I195" s="230"/>
    </row>
    <row r="196" ht="16.5" customHeight="1" spans="1:9">
      <c r="A196" s="208">
        <f>工程量计算稿!A212</f>
        <v>5</v>
      </c>
      <c r="B196" s="209" t="str">
        <f>工程量计算稿!B212</f>
        <v>页岩砖</v>
      </c>
      <c r="C196" s="210" t="str">
        <f>工程量计算稿!C212</f>
        <v>千匹</v>
      </c>
      <c r="D196" s="211"/>
      <c r="E196" s="212">
        <f>结算审核明细表!I197</f>
        <v>2.83</v>
      </c>
      <c r="F196" s="213">
        <f ca="1">工程量计算稿!E212</f>
        <v>2.91324768</v>
      </c>
      <c r="G196" s="214">
        <f ca="1" t="shared" si="27"/>
        <v>2.91324768</v>
      </c>
      <c r="H196" s="214">
        <f ca="1" t="shared" si="28"/>
        <v>0.0832476800000004</v>
      </c>
      <c r="I196" s="230"/>
    </row>
    <row r="197" ht="16.5" customHeight="1" spans="1:9">
      <c r="A197" s="208">
        <f>工程量计算稿!A213</f>
        <v>6</v>
      </c>
      <c r="B197" s="209" t="str">
        <f>工程量计算稿!B213</f>
        <v>钢筋</v>
      </c>
      <c r="C197" s="210" t="str">
        <f>工程量计算稿!C213</f>
        <v>t</v>
      </c>
      <c r="D197" s="211"/>
      <c r="E197" s="212">
        <f>结算审核明细表!I198</f>
        <v>1.48</v>
      </c>
      <c r="F197" s="213">
        <f ca="1">工程量计算稿!E213</f>
        <v>1.38020002</v>
      </c>
      <c r="G197" s="214">
        <f ca="1" t="shared" si="27"/>
        <v>1.38020002</v>
      </c>
      <c r="H197" s="214">
        <f ca="1" t="shared" si="28"/>
        <v>-0.09979998</v>
      </c>
      <c r="I197" s="230"/>
    </row>
    <row r="198" ht="16.5" customHeight="1" spans="1:9">
      <c r="A198" s="208">
        <f>工程量计算稿!A214</f>
        <v>7</v>
      </c>
      <c r="B198" s="209" t="str">
        <f>工程量计算稿!B214</f>
        <v>块石</v>
      </c>
      <c r="C198" s="210" t="str">
        <f>工程量计算稿!C214</f>
        <v>m3</v>
      </c>
      <c r="D198" s="211"/>
      <c r="E198" s="212"/>
      <c r="F198" s="213">
        <f ca="1">工程量计算稿!E214</f>
        <v>14.40198</v>
      </c>
      <c r="G198" s="214">
        <f ca="1" t="shared" si="27"/>
        <v>14.40198</v>
      </c>
      <c r="H198" s="214">
        <f ca="1" t="shared" si="28"/>
        <v>14.40198</v>
      </c>
      <c r="I198" s="230"/>
    </row>
    <row r="199" ht="16.5" customHeight="1" spans="1:9">
      <c r="A199" s="189" t="str">
        <f>工程量计算稿!A215</f>
        <v>四</v>
      </c>
      <c r="B199" s="195" t="str">
        <f>工程量计算稿!B215</f>
        <v>张家梁供水工程</v>
      </c>
      <c r="C199" s="196"/>
      <c r="D199" s="197"/>
      <c r="E199" s="198"/>
      <c r="F199" s="199"/>
      <c r="G199" s="200"/>
      <c r="H199" s="200"/>
      <c r="I199" s="228"/>
    </row>
    <row r="200" ht="16.5" customHeight="1" spans="1:9">
      <c r="A200" s="201" t="str">
        <f>工程量计算稿!A216</f>
        <v>（一）</v>
      </c>
      <c r="B200" s="202" t="str">
        <f>工程量计算稿!B216</f>
        <v>蓄水池工程（Ф=5.5m，H=3.2m）</v>
      </c>
      <c r="C200" s="203"/>
      <c r="D200" s="204"/>
      <c r="E200" s="205"/>
      <c r="F200" s="206"/>
      <c r="G200" s="207"/>
      <c r="H200" s="207"/>
      <c r="I200" s="229"/>
    </row>
    <row r="201" ht="16.5" customHeight="1" spans="1:10">
      <c r="A201" s="208">
        <f>工程量计算稿!A217</f>
        <v>1</v>
      </c>
      <c r="B201" s="209" t="str">
        <f>工程量计算稿!B217</f>
        <v>土方开挖</v>
      </c>
      <c r="C201" s="210" t="str">
        <f>工程量计算稿!C217</f>
        <v>m3</v>
      </c>
      <c r="D201" s="211"/>
      <c r="E201" s="212">
        <f>结算审核明细表!I202</f>
        <v>63.16</v>
      </c>
      <c r="F201" s="213">
        <f ca="1">工程量计算稿!E217</f>
        <v>51.04833648</v>
      </c>
      <c r="G201" s="214">
        <f ca="1" t="shared" ref="G201:G220" si="29">F201-D201</f>
        <v>51.04833648</v>
      </c>
      <c r="H201" s="214">
        <f ca="1" t="shared" ref="H201:H220" si="30">F201-E201</f>
        <v>-12.11166352</v>
      </c>
      <c r="I201" s="230"/>
      <c r="J201" s="231"/>
    </row>
    <row r="202" ht="16.5" customHeight="1" spans="1:10">
      <c r="A202" s="208">
        <f>工程量计算稿!A218</f>
        <v>2</v>
      </c>
      <c r="B202" s="209" t="str">
        <f>工程量计算稿!B218</f>
        <v>石方开挖</v>
      </c>
      <c r="C202" s="210" t="str">
        <f>工程量计算稿!C218</f>
        <v>m3</v>
      </c>
      <c r="D202" s="211"/>
      <c r="E202" s="212">
        <f>结算审核明细表!I203</f>
        <v>42.11</v>
      </c>
      <c r="F202" s="213">
        <f ca="1">工程量计算稿!E218</f>
        <v>34.03222432</v>
      </c>
      <c r="G202" s="214">
        <f ca="1" t="shared" si="29"/>
        <v>34.03222432</v>
      </c>
      <c r="H202" s="214">
        <f ca="1" t="shared" si="30"/>
        <v>-8.07777568000001</v>
      </c>
      <c r="I202" s="230"/>
      <c r="J202" s="231"/>
    </row>
    <row r="203" ht="16.5" customHeight="1" spans="1:10">
      <c r="A203" s="208">
        <f>工程量计算稿!A219</f>
        <v>3</v>
      </c>
      <c r="B203" s="209" t="str">
        <f>工程量计算稿!B219</f>
        <v>土石方回填</v>
      </c>
      <c r="C203" s="210" t="str">
        <f>工程量计算稿!C219</f>
        <v>m3</v>
      </c>
      <c r="D203" s="211"/>
      <c r="E203" s="212">
        <f>结算审核明细表!I204</f>
        <v>25.91</v>
      </c>
      <c r="F203" s="213">
        <f ca="1">工程量计算稿!E219</f>
        <v>25.8108</v>
      </c>
      <c r="G203" s="214">
        <f ca="1" t="shared" si="29"/>
        <v>25.8108</v>
      </c>
      <c r="H203" s="214">
        <f ca="1" t="shared" si="30"/>
        <v>-0.0991999999999997</v>
      </c>
      <c r="I203" s="230"/>
      <c r="J203" s="231"/>
    </row>
    <row r="204" ht="16.5" customHeight="1" spans="1:10">
      <c r="A204" s="215">
        <f>工程量计算稿!A220</f>
        <v>4</v>
      </c>
      <c r="B204" s="209" t="str">
        <f>工程量计算稿!B220</f>
        <v>C25砼 2级配 32.5水泥 粒径40mm（底板）</v>
      </c>
      <c r="C204" s="210" t="str">
        <f>工程量计算稿!C220</f>
        <v>m3</v>
      </c>
      <c r="D204" s="211"/>
      <c r="E204" s="212">
        <f>结算审核明细表!I205</f>
        <v>3.83</v>
      </c>
      <c r="F204" s="213">
        <f ca="1">工程量计算稿!E220</f>
        <v>2.5325984</v>
      </c>
      <c r="G204" s="214">
        <f ca="1" t="shared" si="29"/>
        <v>2.5325984</v>
      </c>
      <c r="H204" s="214">
        <f ca="1" t="shared" si="30"/>
        <v>-1.2974016</v>
      </c>
      <c r="I204" s="230"/>
      <c r="J204" s="231"/>
    </row>
    <row r="205" ht="16.5" customHeight="1" spans="1:10">
      <c r="A205" s="217"/>
      <c r="B205" s="209" t="str">
        <f>工程量计算稿!B221</f>
        <v>C25砼 2级配 32.5水泥 粒径40mm（含顶板、梁）</v>
      </c>
      <c r="C205" s="210" t="str">
        <f>工程量计算稿!C221</f>
        <v>m3</v>
      </c>
      <c r="D205" s="211"/>
      <c r="E205" s="212">
        <f>结算审核明细表!I206</f>
        <v>3.51</v>
      </c>
      <c r="F205" s="213">
        <f ca="1">工程量计算稿!E221</f>
        <v>2.2715864</v>
      </c>
      <c r="G205" s="214">
        <f ca="1" t="shared" si="29"/>
        <v>2.2715864</v>
      </c>
      <c r="H205" s="214">
        <f ca="1" t="shared" si="30"/>
        <v>-1.2384136</v>
      </c>
      <c r="I205" s="230"/>
      <c r="J205" s="231"/>
    </row>
    <row r="206" s="164" customFormat="1" ht="16.5" customHeight="1" spans="1:12">
      <c r="A206" s="208">
        <f>工程量计算稿!A222</f>
        <v>5</v>
      </c>
      <c r="B206" s="209" t="str">
        <f>工程量计算稿!B222</f>
        <v>M7.5砌砖</v>
      </c>
      <c r="C206" s="210" t="str">
        <f>工程量计算稿!C222</f>
        <v>m3</v>
      </c>
      <c r="D206" s="211"/>
      <c r="E206" s="212">
        <f>结算审核明细表!I207</f>
        <v>12.55</v>
      </c>
      <c r="F206" s="213">
        <f ca="1">工程量计算稿!E222</f>
        <v>12.00454656</v>
      </c>
      <c r="G206" s="214">
        <f ca="1" t="shared" si="29"/>
        <v>12.00454656</v>
      </c>
      <c r="H206" s="214">
        <f ca="1" t="shared" si="30"/>
        <v>-0.545453439999999</v>
      </c>
      <c r="I206" s="230"/>
      <c r="J206" s="231"/>
      <c r="K206" s="173"/>
      <c r="L206" s="173"/>
    </row>
    <row r="207" ht="16.5" customHeight="1" spans="1:10">
      <c r="A207" s="208">
        <f>工程量计算稿!A223</f>
        <v>6</v>
      </c>
      <c r="B207" s="209" t="str">
        <f>工程量计算稿!B223</f>
        <v>木模制安</v>
      </c>
      <c r="C207" s="210" t="str">
        <f>工程量计算稿!C223</f>
        <v>m2</v>
      </c>
      <c r="D207" s="211"/>
      <c r="E207" s="212">
        <f>结算审核明细表!I208</f>
        <v>26.25</v>
      </c>
      <c r="F207" s="213">
        <f ca="1">工程量计算稿!E223</f>
        <v>19.315</v>
      </c>
      <c r="G207" s="214">
        <f ca="1" t="shared" si="29"/>
        <v>19.315</v>
      </c>
      <c r="H207" s="214">
        <f ca="1" t="shared" si="30"/>
        <v>-6.935</v>
      </c>
      <c r="I207" s="230"/>
      <c r="J207" s="231"/>
    </row>
    <row r="208" ht="16.5" customHeight="1" spans="1:10">
      <c r="A208" s="208">
        <f>工程量计算稿!A224</f>
        <v>7</v>
      </c>
      <c r="B208" s="209" t="str">
        <f>工程量计算稿!B224</f>
        <v>钢筋制安</v>
      </c>
      <c r="C208" s="210" t="str">
        <f>工程量计算稿!C224</f>
        <v>kg</v>
      </c>
      <c r="D208" s="211"/>
      <c r="E208" s="218">
        <f>结算审核明细表!I209*1000</f>
        <v>720</v>
      </c>
      <c r="F208" s="213">
        <f ca="1">工程量计算稿!E224</f>
        <v>494.30338</v>
      </c>
      <c r="G208" s="214">
        <f ca="1" t="shared" si="29"/>
        <v>494.30338</v>
      </c>
      <c r="H208" s="214">
        <f ca="1" t="shared" si="30"/>
        <v>-225.69662</v>
      </c>
      <c r="I208" s="230"/>
      <c r="J208" s="231"/>
    </row>
    <row r="209" ht="16.5" customHeight="1" spans="1:10">
      <c r="A209" s="208">
        <f>工程量计算稿!A225</f>
        <v>8</v>
      </c>
      <c r="B209" s="209" t="str">
        <f>工程量计算稿!B225</f>
        <v>M10沙浆抹面</v>
      </c>
      <c r="C209" s="210" t="str">
        <f>工程量计算稿!C225</f>
        <v>m2</v>
      </c>
      <c r="D209" s="211"/>
      <c r="E209" s="212">
        <f>结算审核明细表!I210</f>
        <v>113.81</v>
      </c>
      <c r="F209" s="213">
        <f ca="1">工程量计算稿!E225</f>
        <v>65.36538</v>
      </c>
      <c r="G209" s="214">
        <f ca="1" t="shared" si="29"/>
        <v>65.36538</v>
      </c>
      <c r="H209" s="214">
        <f ca="1" t="shared" si="30"/>
        <v>-48.44462</v>
      </c>
      <c r="I209" s="230"/>
      <c r="J209" s="231"/>
    </row>
    <row r="210" ht="16.5" customHeight="1" spans="1:10">
      <c r="A210" s="208">
        <f>工程量计算稿!A226</f>
        <v>9</v>
      </c>
      <c r="B210" s="209" t="str">
        <f>工程量计算稿!B226</f>
        <v>M10沙浆抹面瓷砖粘贴</v>
      </c>
      <c r="C210" s="210" t="str">
        <f>工程量计算稿!C226</f>
        <v>m2</v>
      </c>
      <c r="D210" s="211"/>
      <c r="E210" s="212">
        <f>结算审核明细表!I211</f>
        <v>19</v>
      </c>
      <c r="F210" s="213">
        <f ca="1">工程量计算稿!E226</f>
        <v>17.63738</v>
      </c>
      <c r="G210" s="214">
        <f ca="1" t="shared" si="29"/>
        <v>17.63738</v>
      </c>
      <c r="H210" s="214">
        <f ca="1" t="shared" si="30"/>
        <v>-1.36262</v>
      </c>
      <c r="I210" s="230"/>
      <c r="J210" s="231"/>
    </row>
    <row r="211" ht="16.5" customHeight="1" spans="1:9">
      <c r="A211" s="208">
        <f>工程量计算稿!A227</f>
        <v>10</v>
      </c>
      <c r="B211" s="209" t="str">
        <f>工程量计算稿!B227</f>
        <v>人力二次转运材料（运距300米)</v>
      </c>
      <c r="C211" s="210" t="str">
        <f>工程量计算稿!C227</f>
        <v>吨/km</v>
      </c>
      <c r="D211" s="211"/>
      <c r="E211" s="212"/>
      <c r="F211" s="213"/>
      <c r="G211" s="214">
        <f t="shared" si="29"/>
        <v>0</v>
      </c>
      <c r="H211" s="214">
        <f t="shared" si="30"/>
        <v>0</v>
      </c>
      <c r="I211" s="230"/>
    </row>
    <row r="212" ht="16.5" customHeight="1" spans="1:10">
      <c r="A212" s="208">
        <f>工程量计算稿!A228</f>
        <v>11</v>
      </c>
      <c r="B212" s="209" t="str">
        <f>工程量计算稿!B228</f>
        <v>通气进人孔</v>
      </c>
      <c r="C212" s="210" t="str">
        <f>工程量计算稿!C228</f>
        <v>套</v>
      </c>
      <c r="D212" s="211"/>
      <c r="E212" s="212">
        <f>结算审核明细表!I213</f>
        <v>1</v>
      </c>
      <c r="F212" s="213">
        <f ca="1">工程量计算稿!E228</f>
        <v>1</v>
      </c>
      <c r="G212" s="214">
        <f ca="1" t="shared" si="29"/>
        <v>1</v>
      </c>
      <c r="H212" s="214">
        <f ca="1" t="shared" si="30"/>
        <v>0</v>
      </c>
      <c r="I212" s="230"/>
      <c r="J212" s="231"/>
    </row>
    <row r="213" ht="16.5" customHeight="1" spans="1:10">
      <c r="A213" s="208" t="str">
        <f>工程量计算稿!A229</f>
        <v>新增</v>
      </c>
      <c r="B213" s="209" t="str">
        <f>工程量计算稿!B229</f>
        <v>电力线</v>
      </c>
      <c r="C213" s="210" t="str">
        <f>工程量计算稿!C229</f>
        <v>m</v>
      </c>
      <c r="D213" s="211"/>
      <c r="E213" s="212"/>
      <c r="F213" s="213">
        <f ca="1">工程量计算稿!E229</f>
        <v>150</v>
      </c>
      <c r="G213" s="214">
        <f ca="1" t="shared" si="29"/>
        <v>150</v>
      </c>
      <c r="H213" s="214">
        <f ca="1" t="shared" si="30"/>
        <v>150</v>
      </c>
      <c r="I213" s="230"/>
      <c r="J213" s="231"/>
    </row>
    <row r="214" ht="16.5" customHeight="1" spans="1:10">
      <c r="A214" s="208" t="str">
        <f>工程量计算稿!A230</f>
        <v>新增</v>
      </c>
      <c r="B214" s="209" t="str">
        <f>工程量计算稿!B230</f>
        <v>杀毒器</v>
      </c>
      <c r="C214" s="210" t="str">
        <f>工程量计算稿!C230</f>
        <v>台</v>
      </c>
      <c r="D214" s="211"/>
      <c r="E214" s="212"/>
      <c r="F214" s="213">
        <f ca="1">工程量计算稿!E230</f>
        <v>1</v>
      </c>
      <c r="G214" s="214">
        <f ca="1" t="shared" si="29"/>
        <v>1</v>
      </c>
      <c r="H214" s="214">
        <f ca="1" t="shared" si="30"/>
        <v>1</v>
      </c>
      <c r="I214" s="230"/>
      <c r="J214" s="231"/>
    </row>
    <row r="215" ht="16.5" customHeight="1" spans="1:12">
      <c r="A215" s="208" t="str">
        <f>工程量计算稿!A231</f>
        <v>新增</v>
      </c>
      <c r="B215" s="209" t="str">
        <f>工程量计算稿!B231</f>
        <v>C15砼垫层</v>
      </c>
      <c r="C215" s="210" t="str">
        <f>工程量计算稿!C231</f>
        <v>m3</v>
      </c>
      <c r="D215" s="211"/>
      <c r="E215" s="212">
        <f>结算审核明细表!I216</f>
        <v>1.28</v>
      </c>
      <c r="F215" s="213">
        <f ca="1">工程量计算稿!E231</f>
        <v>1.2662992</v>
      </c>
      <c r="G215" s="214">
        <f ca="1" t="shared" si="29"/>
        <v>1.2662992</v>
      </c>
      <c r="H215" s="214">
        <f ca="1" t="shared" si="30"/>
        <v>-0.0137007999999998</v>
      </c>
      <c r="I215" s="230"/>
      <c r="J215" s="231" t="str">
        <f>B215</f>
        <v>C15砼垫层</v>
      </c>
      <c r="K215" s="232">
        <f ca="1">G215</f>
        <v>1.2662992</v>
      </c>
      <c r="L215" s="173">
        <f ca="1">H215</f>
        <v>-0.0137007999999998</v>
      </c>
    </row>
    <row r="216" ht="16.5" customHeight="1" spans="1:10">
      <c r="A216" s="208" t="str">
        <f>工程量计算稿!A232</f>
        <v>新增</v>
      </c>
      <c r="B216" s="209" t="str">
        <f>工程量计算稿!B232</f>
        <v>C20砼地面</v>
      </c>
      <c r="C216" s="210" t="str">
        <f>工程量计算稿!C232</f>
        <v>m3</v>
      </c>
      <c r="D216" s="211"/>
      <c r="E216" s="212">
        <f>结算审核明细表!I217</f>
        <v>1.71</v>
      </c>
      <c r="F216" s="213">
        <f ca="1">工程量计算稿!E232</f>
        <v>0.738528</v>
      </c>
      <c r="G216" s="214">
        <f ca="1" t="shared" si="29"/>
        <v>0.738528</v>
      </c>
      <c r="H216" s="214">
        <f ca="1" t="shared" si="30"/>
        <v>-0.971472</v>
      </c>
      <c r="I216" s="230"/>
      <c r="J216" s="231"/>
    </row>
    <row r="217" ht="16.5" customHeight="1" spans="1:10">
      <c r="A217" s="208" t="str">
        <f>工程量计算稿!A234</f>
        <v>新增</v>
      </c>
      <c r="B217" s="209" t="str">
        <f>工程量计算稿!B234</f>
        <v>脚手架</v>
      </c>
      <c r="C217" s="210" t="str">
        <f>工程量计算稿!C234</f>
        <v>m2</v>
      </c>
      <c r="D217" s="211"/>
      <c r="E217" s="212">
        <f>结算审核明细表!I219</f>
        <v>19.78</v>
      </c>
      <c r="F217" s="213">
        <f ca="1">工程量计算稿!E234</f>
        <v>0</v>
      </c>
      <c r="G217" s="214">
        <f ca="1" t="shared" si="29"/>
        <v>0</v>
      </c>
      <c r="H217" s="214">
        <f ca="1" t="shared" si="30"/>
        <v>-19.78</v>
      </c>
      <c r="I217" s="230"/>
      <c r="J217" s="231"/>
    </row>
    <row r="218" ht="16.5" customHeight="1" spans="1:10">
      <c r="A218" s="208" t="str">
        <f>工程量计算稿!A233</f>
        <v>新增</v>
      </c>
      <c r="B218" s="209" t="str">
        <f>工程量计算稿!B233</f>
        <v>爬梯制安</v>
      </c>
      <c r="C218" s="210" t="str">
        <f>工程量计算稿!C233</f>
        <v>步</v>
      </c>
      <c r="D218" s="211"/>
      <c r="E218" s="212">
        <f>结算审核明细表!I218</f>
        <v>8</v>
      </c>
      <c r="F218" s="213">
        <f ca="1">工程量计算稿!E233</f>
        <v>8</v>
      </c>
      <c r="G218" s="214">
        <f ca="1" t="shared" si="29"/>
        <v>8</v>
      </c>
      <c r="H218" s="214">
        <f ca="1" t="shared" si="30"/>
        <v>0</v>
      </c>
      <c r="I218" s="230"/>
      <c r="J218" s="231"/>
    </row>
    <row r="219" ht="16.5" customHeight="1" spans="1:10">
      <c r="A219" s="208" t="str">
        <f>工程量计算稿!A235</f>
        <v>新增</v>
      </c>
      <c r="B219" s="209" t="str">
        <f>工程量计算稿!B235</f>
        <v>池顶不锈钢护栏</v>
      </c>
      <c r="C219" s="210" t="str">
        <f>工程量计算稿!C235</f>
        <v>m2</v>
      </c>
      <c r="D219" s="211"/>
      <c r="E219" s="212">
        <f>结算审核明细表!I220</f>
        <v>25.91</v>
      </c>
      <c r="F219" s="213">
        <f ca="1">工程量计算稿!E235</f>
        <v>17.2072</v>
      </c>
      <c r="G219" s="214">
        <f ca="1" t="shared" si="29"/>
        <v>17.2072</v>
      </c>
      <c r="H219" s="214">
        <f ca="1" t="shared" si="30"/>
        <v>-8.7028</v>
      </c>
      <c r="I219" s="230"/>
      <c r="J219" s="231"/>
    </row>
    <row r="220" ht="16.5" customHeight="1" spans="1:10">
      <c r="A220" s="208" t="str">
        <f>工程量计算稿!A236</f>
        <v>新增</v>
      </c>
      <c r="B220" s="209" t="str">
        <f>工程量计算稿!B236</f>
        <v>饮水安全标志牌</v>
      </c>
      <c r="C220" s="210" t="str">
        <f>工程量计算稿!C236</f>
        <v>个</v>
      </c>
      <c r="D220" s="211"/>
      <c r="E220" s="212">
        <f>结算审核明细表!I221</f>
        <v>1</v>
      </c>
      <c r="F220" s="213">
        <f ca="1">工程量计算稿!E236</f>
        <v>1</v>
      </c>
      <c r="G220" s="214">
        <f ca="1" t="shared" si="29"/>
        <v>1</v>
      </c>
      <c r="H220" s="214">
        <f ca="1" t="shared" si="30"/>
        <v>0</v>
      </c>
      <c r="I220" s="230"/>
      <c r="J220" s="231"/>
    </row>
    <row r="221" ht="16.5" customHeight="1" spans="1:9">
      <c r="A221" s="201" t="str">
        <f>工程量计算稿!A237</f>
        <v>（二）</v>
      </c>
      <c r="B221" s="202" t="str">
        <f>工程量计算稿!B237</f>
        <v>过滤池（集水池工程）</v>
      </c>
      <c r="C221" s="203" t="str">
        <f>工程量计算稿!C237</f>
        <v>个</v>
      </c>
      <c r="D221" s="204"/>
      <c r="E221" s="205"/>
      <c r="F221" s="206"/>
      <c r="G221" s="207"/>
      <c r="H221" s="207"/>
      <c r="I221" s="229"/>
    </row>
    <row r="222" ht="16.5" customHeight="1" spans="1:10">
      <c r="A222" s="208">
        <f>工程量计算稿!A238</f>
        <v>1</v>
      </c>
      <c r="B222" s="209" t="str">
        <f>工程量计算稿!B238</f>
        <v>土方开挖</v>
      </c>
      <c r="C222" s="210" t="str">
        <f>工程量计算稿!C238</f>
        <v>m3</v>
      </c>
      <c r="D222" s="211"/>
      <c r="E222" s="212">
        <f>结算审核明细表!I223</f>
        <v>1.97</v>
      </c>
      <c r="F222" s="213">
        <f ca="1">工程量计算稿!E238</f>
        <v>1.9656</v>
      </c>
      <c r="G222" s="214">
        <f ca="1" t="shared" ref="G222:G231" si="31">F222-D222</f>
        <v>1.9656</v>
      </c>
      <c r="H222" s="214">
        <f ca="1" t="shared" ref="H222:H231" si="32">F222-E222</f>
        <v>-0.00440000000000018</v>
      </c>
      <c r="I222" s="230"/>
      <c r="J222" s="231"/>
    </row>
    <row r="223" ht="16.5" customHeight="1" spans="1:10">
      <c r="A223" s="208">
        <f>工程量计算稿!A239</f>
        <v>2</v>
      </c>
      <c r="B223" s="209" t="str">
        <f>工程量计算稿!B239</f>
        <v>C25混凝土底板浇筑【资料C20】</v>
      </c>
      <c r="C223" s="210" t="str">
        <f>工程量计算稿!C239</f>
        <v>m3</v>
      </c>
      <c r="D223" s="211"/>
      <c r="E223" s="212">
        <f>结算审核明细表!I224</f>
        <v>0.5</v>
      </c>
      <c r="F223" s="213">
        <f ca="1">工程量计算稿!E239</f>
        <v>0.504</v>
      </c>
      <c r="G223" s="214">
        <f ca="1" t="shared" si="31"/>
        <v>0.504</v>
      </c>
      <c r="H223" s="214">
        <f ca="1" t="shared" si="32"/>
        <v>0.004</v>
      </c>
      <c r="I223" s="239" t="s">
        <v>87</v>
      </c>
      <c r="J223" s="231"/>
    </row>
    <row r="224" ht="16.5" customHeight="1" spans="1:10">
      <c r="A224" s="208">
        <f>工程量计算稿!A240</f>
        <v>3</v>
      </c>
      <c r="B224" s="209" t="str">
        <f>工程量计算稿!B240</f>
        <v>C25混凝土顶板浇筑</v>
      </c>
      <c r="C224" s="210" t="str">
        <f>工程量计算稿!C240</f>
        <v>m3</v>
      </c>
      <c r="D224" s="211"/>
      <c r="E224" s="212">
        <f>结算审核明细表!I225</f>
        <v>0.35</v>
      </c>
      <c r="F224" s="213">
        <f ca="1">工程量计算稿!E240</f>
        <v>0.3528</v>
      </c>
      <c r="G224" s="214">
        <f ca="1" t="shared" si="31"/>
        <v>0.3528</v>
      </c>
      <c r="H224" s="214">
        <f ca="1" t="shared" si="32"/>
        <v>0.00280000000000008</v>
      </c>
      <c r="I224" s="230"/>
      <c r="J224" s="231"/>
    </row>
    <row r="225" ht="16.5" customHeight="1" spans="1:10">
      <c r="A225" s="208">
        <f>工程量计算稿!A241</f>
        <v>4</v>
      </c>
      <c r="B225" s="209" t="str">
        <f>工程量计算稿!B241</f>
        <v>M7.5砖砌</v>
      </c>
      <c r="C225" s="210" t="str">
        <f>工程量计算稿!C241</f>
        <v>m3</v>
      </c>
      <c r="D225" s="211"/>
      <c r="E225" s="212">
        <f>结算审核明细表!I226</f>
        <v>1.2</v>
      </c>
      <c r="F225" s="213">
        <f ca="1">工程量计算稿!E241</f>
        <v>1.0848</v>
      </c>
      <c r="G225" s="214">
        <f ca="1" t="shared" si="31"/>
        <v>1.0848</v>
      </c>
      <c r="H225" s="214">
        <f ca="1" t="shared" si="32"/>
        <v>-0.1152</v>
      </c>
      <c r="I225" s="230"/>
      <c r="J225" s="231"/>
    </row>
    <row r="226" ht="16.5" customHeight="1" spans="1:10">
      <c r="A226" s="208">
        <f>工程量计算稿!A242</f>
        <v>5</v>
      </c>
      <c r="B226" s="209" t="str">
        <f>工程量计算稿!B242</f>
        <v>木模制安</v>
      </c>
      <c r="C226" s="210" t="str">
        <f>工程量计算稿!C242</f>
        <v>m2</v>
      </c>
      <c r="D226" s="211"/>
      <c r="E226" s="212">
        <f>结算审核明细表!I227</f>
        <v>3.57</v>
      </c>
      <c r="F226" s="213">
        <f ca="1">工程量计算稿!E242</f>
        <v>3.5704</v>
      </c>
      <c r="G226" s="214">
        <f ca="1" t="shared" si="31"/>
        <v>3.5704</v>
      </c>
      <c r="H226" s="214">
        <f ca="1" t="shared" si="32"/>
        <v>0.0004000000000004</v>
      </c>
      <c r="I226" s="230"/>
      <c r="J226" s="231"/>
    </row>
    <row r="227" ht="16.5" customHeight="1" spans="1:10">
      <c r="A227" s="208">
        <f>工程量计算稿!A243</f>
        <v>6</v>
      </c>
      <c r="B227" s="209" t="str">
        <f>工程量计算稿!B243</f>
        <v>钢筋制安</v>
      </c>
      <c r="C227" s="210" t="str">
        <f>工程量计算稿!C243</f>
        <v>kg</v>
      </c>
      <c r="D227" s="211"/>
      <c r="E227" s="218">
        <f>结算审核明细表!I228*1000</f>
        <v>20</v>
      </c>
      <c r="F227" s="213">
        <f ca="1">工程量计算稿!E243</f>
        <v>78.2416</v>
      </c>
      <c r="G227" s="214">
        <f ca="1" t="shared" si="31"/>
        <v>78.2416</v>
      </c>
      <c r="H227" s="214">
        <f ca="1" t="shared" si="32"/>
        <v>58.2416</v>
      </c>
      <c r="I227" s="230"/>
      <c r="J227" s="231"/>
    </row>
    <row r="228" ht="16.5" customHeight="1" spans="1:10">
      <c r="A228" s="208">
        <f>工程量计算稿!A244</f>
        <v>7</v>
      </c>
      <c r="B228" s="209" t="str">
        <f>工程量计算稿!B244</f>
        <v>M10沙浆抹面</v>
      </c>
      <c r="C228" s="210" t="str">
        <f>工程量计算稿!C244</f>
        <v>m2</v>
      </c>
      <c r="D228" s="211"/>
      <c r="E228" s="212">
        <f>结算审核明细表!I229</f>
        <v>6.79</v>
      </c>
      <c r="F228" s="213">
        <f ca="1">工程量计算稿!E244</f>
        <v>6.7872</v>
      </c>
      <c r="G228" s="214">
        <f ca="1" t="shared" si="31"/>
        <v>6.7872</v>
      </c>
      <c r="H228" s="214">
        <f ca="1" t="shared" si="32"/>
        <v>-0.00280000000000058</v>
      </c>
      <c r="I228" s="230"/>
      <c r="J228" s="231"/>
    </row>
    <row r="229" ht="16.5" customHeight="1" spans="1:10">
      <c r="A229" s="208">
        <f>工程量计算稿!A245</f>
        <v>8</v>
      </c>
      <c r="B229" s="209" t="str">
        <f>工程量计算稿!B245</f>
        <v>砂石滤料</v>
      </c>
      <c r="C229" s="210" t="str">
        <f>工程量计算稿!C245</f>
        <v>m3</v>
      </c>
      <c r="D229" s="211"/>
      <c r="E229" s="212">
        <f>结算审核明细表!I230</f>
        <v>1.1</v>
      </c>
      <c r="F229" s="213">
        <f ca="1">工程量计算稿!E245</f>
        <v>1.104</v>
      </c>
      <c r="G229" s="214">
        <f ca="1" t="shared" si="31"/>
        <v>1.104</v>
      </c>
      <c r="H229" s="214">
        <f ca="1" t="shared" si="32"/>
        <v>0.004</v>
      </c>
      <c r="I229" s="230"/>
      <c r="J229" s="231"/>
    </row>
    <row r="230" ht="16.5" customHeight="1" spans="1:10">
      <c r="A230" s="208" t="str">
        <f>工程量计算稿!A246</f>
        <v>新增</v>
      </c>
      <c r="B230" s="209" t="str">
        <f>工程量计算稿!B246</f>
        <v>石方开挖</v>
      </c>
      <c r="C230" s="210" t="str">
        <f>工程量计算稿!C246</f>
        <v>m3</v>
      </c>
      <c r="D230" s="211"/>
      <c r="E230" s="212">
        <f>结算审核明细表!I231</f>
        <v>1.31</v>
      </c>
      <c r="F230" s="213">
        <f ca="1">工程量计算稿!E246</f>
        <v>1.3104</v>
      </c>
      <c r="G230" s="214">
        <f ca="1" t="shared" si="31"/>
        <v>1.3104</v>
      </c>
      <c r="H230" s="214">
        <f ca="1" t="shared" si="32"/>
        <v>0.000399999999999956</v>
      </c>
      <c r="I230" s="230"/>
      <c r="J230" s="231"/>
    </row>
    <row r="231" s="164" customFormat="1" ht="16.5" customHeight="1" spans="1:12">
      <c r="A231" s="208" t="str">
        <f>工程量计算稿!A247</f>
        <v>新增</v>
      </c>
      <c r="B231" s="209" t="str">
        <f>工程量计算稿!B247</f>
        <v>土石方回填</v>
      </c>
      <c r="C231" s="210" t="str">
        <f>工程量计算稿!C247</f>
        <v>m3</v>
      </c>
      <c r="D231" s="211"/>
      <c r="E231" s="212">
        <f>结算审核明细表!I232</f>
        <v>1.5</v>
      </c>
      <c r="F231" s="213">
        <f ca="1">工程量计算稿!E247</f>
        <v>1.5</v>
      </c>
      <c r="G231" s="214">
        <f ca="1" t="shared" si="31"/>
        <v>1.5</v>
      </c>
      <c r="H231" s="214">
        <f ca="1" t="shared" si="32"/>
        <v>0</v>
      </c>
      <c r="I231" s="230"/>
      <c r="J231" s="231"/>
      <c r="K231" s="173"/>
      <c r="L231" s="173"/>
    </row>
    <row r="232" ht="16.5" customHeight="1" spans="1:9">
      <c r="A232" s="201" t="str">
        <f>工程量计算稿!A248</f>
        <v>（三）</v>
      </c>
      <c r="B232" s="202" t="str">
        <f>工程量计算稿!B248</f>
        <v>闸室工程</v>
      </c>
      <c r="C232" s="203"/>
      <c r="D232" s="204"/>
      <c r="E232" s="205"/>
      <c r="F232" s="206"/>
      <c r="G232" s="207"/>
      <c r="H232" s="207"/>
      <c r="I232" s="229"/>
    </row>
    <row r="233" ht="16.5" customHeight="1" spans="1:10">
      <c r="A233" s="208">
        <f>工程量计算稿!A249</f>
        <v>1</v>
      </c>
      <c r="B233" s="209" t="str">
        <f>工程量计算稿!B249</f>
        <v>土方开挖</v>
      </c>
      <c r="C233" s="210" t="str">
        <f>工程量计算稿!C249</f>
        <v>m3</v>
      </c>
      <c r="D233" s="211"/>
      <c r="E233" s="212">
        <f>结算审核明细表!I234</f>
        <v>3.12</v>
      </c>
      <c r="F233" s="213">
        <f ca="1">工程量计算稿!E249</f>
        <v>2.893968</v>
      </c>
      <c r="G233" s="214">
        <f ca="1" t="shared" ref="G233:G240" si="33">F233-D233</f>
        <v>2.893968</v>
      </c>
      <c r="H233" s="214">
        <f ca="1" t="shared" ref="H233:H240" si="34">F233-E233</f>
        <v>-0.226032</v>
      </c>
      <c r="I233" s="230"/>
      <c r="J233" s="231"/>
    </row>
    <row r="234" ht="16.5" customHeight="1" spans="1:10">
      <c r="A234" s="208">
        <f>工程量计算稿!A250</f>
        <v>2</v>
      </c>
      <c r="B234" s="209" t="str">
        <f>工程量计算稿!B250</f>
        <v>石方开挖</v>
      </c>
      <c r="C234" s="210" t="str">
        <f>工程量计算稿!C250</f>
        <v>m3</v>
      </c>
      <c r="D234" s="211"/>
      <c r="E234" s="212">
        <f>结算审核明细表!I235</f>
        <v>2.08</v>
      </c>
      <c r="F234" s="213">
        <f ca="1">工程量计算稿!E250</f>
        <v>1.929312</v>
      </c>
      <c r="G234" s="214">
        <f ca="1" t="shared" si="33"/>
        <v>1.929312</v>
      </c>
      <c r="H234" s="214">
        <f ca="1" t="shared" si="34"/>
        <v>-0.150688</v>
      </c>
      <c r="I234" s="230"/>
      <c r="J234" s="231"/>
    </row>
    <row r="235" ht="16.5" customHeight="1" spans="1:10">
      <c r="A235" s="208">
        <f>工程量计算稿!A251</f>
        <v>3</v>
      </c>
      <c r="B235" s="209" t="str">
        <f>工程量计算稿!B251</f>
        <v>土石方回填</v>
      </c>
      <c r="C235" s="210" t="str">
        <f>工程量计算稿!C251</f>
        <v>m3</v>
      </c>
      <c r="D235" s="211"/>
      <c r="E235" s="212">
        <f>结算审核明细表!I236</f>
        <v>4.03</v>
      </c>
      <c r="F235" s="213">
        <f ca="1">工程量计算稿!E251</f>
        <v>4.1536</v>
      </c>
      <c r="G235" s="214">
        <f ca="1" t="shared" si="33"/>
        <v>4.1536</v>
      </c>
      <c r="H235" s="214">
        <f ca="1" t="shared" si="34"/>
        <v>0.1236</v>
      </c>
      <c r="I235" s="230"/>
      <c r="J235" s="231"/>
    </row>
    <row r="236" ht="16.5" customHeight="1" spans="1:10">
      <c r="A236" s="208">
        <f>工程量计算稿!A252</f>
        <v>4</v>
      </c>
      <c r="B236" s="209" t="str">
        <f>工程量计算稿!B252</f>
        <v>C25混凝土底板浇筑【资料C20】</v>
      </c>
      <c r="C236" s="210" t="str">
        <f>工程量计算稿!C252</f>
        <v>m3</v>
      </c>
      <c r="D236" s="211"/>
      <c r="E236" s="212">
        <f>结算审核明细表!I237</f>
        <v>0.38</v>
      </c>
      <c r="F236" s="213">
        <f ca="1">工程量计算稿!E252</f>
        <v>0.35424</v>
      </c>
      <c r="G236" s="214">
        <f ca="1" t="shared" si="33"/>
        <v>0.35424</v>
      </c>
      <c r="H236" s="214">
        <f ca="1" t="shared" si="34"/>
        <v>-0.0257600000000001</v>
      </c>
      <c r="I236" s="230"/>
      <c r="J236" s="231"/>
    </row>
    <row r="237" ht="16.5" customHeight="1" spans="1:10">
      <c r="A237" s="208">
        <f>工程量计算稿!A253</f>
        <v>5</v>
      </c>
      <c r="B237" s="209" t="str">
        <f>工程量计算稿!B253</f>
        <v>M7.5砖砌围墙</v>
      </c>
      <c r="C237" s="210" t="str">
        <f>工程量计算稿!C253</f>
        <v>m3</v>
      </c>
      <c r="D237" s="211"/>
      <c r="E237" s="212">
        <f>结算审核明细表!I238</f>
        <v>2.76</v>
      </c>
      <c r="F237" s="213">
        <f ca="1">工程量计算稿!E253</f>
        <v>1.790976</v>
      </c>
      <c r="G237" s="214">
        <f ca="1" t="shared" si="33"/>
        <v>1.790976</v>
      </c>
      <c r="H237" s="214">
        <f ca="1" t="shared" si="34"/>
        <v>-0.969024</v>
      </c>
      <c r="I237" s="230"/>
      <c r="J237" s="231"/>
    </row>
    <row r="238" ht="16.5" customHeight="1" spans="1:10">
      <c r="A238" s="208">
        <f>工程量计算稿!A254</f>
        <v>6</v>
      </c>
      <c r="B238" s="209" t="str">
        <f>工程量计算稿!B254</f>
        <v>M10沙浆抹面</v>
      </c>
      <c r="C238" s="210" t="str">
        <f>工程量计算稿!C254</f>
        <v>m2</v>
      </c>
      <c r="D238" s="211"/>
      <c r="E238" s="212">
        <f>结算审核明细表!I239</f>
        <v>10.4</v>
      </c>
      <c r="F238" s="213">
        <f ca="1">工程量计算稿!E254</f>
        <v>10.384</v>
      </c>
      <c r="G238" s="214">
        <f ca="1" t="shared" si="33"/>
        <v>10.384</v>
      </c>
      <c r="H238" s="214">
        <f ca="1" t="shared" si="34"/>
        <v>-0.016</v>
      </c>
      <c r="I238" s="230"/>
      <c r="J238" s="231"/>
    </row>
    <row r="239" ht="16.5" customHeight="1" spans="1:10">
      <c r="A239" s="208" t="str">
        <f>工程量计算稿!A255</f>
        <v>新增</v>
      </c>
      <c r="B239" s="209" t="str">
        <f>工程量计算稿!B255</f>
        <v>C25混凝土顶板浇筑【资料C20】</v>
      </c>
      <c r="C239" s="210" t="str">
        <f>工程量计算稿!C255</f>
        <v>m3</v>
      </c>
      <c r="D239" s="211"/>
      <c r="E239" s="212">
        <f>结算审核明细表!I240</f>
        <v>0.31</v>
      </c>
      <c r="F239" s="213">
        <f ca="1">工程量计算稿!E255</f>
        <v>0.094464</v>
      </c>
      <c r="G239" s="214">
        <f ca="1" t="shared" si="33"/>
        <v>0.094464</v>
      </c>
      <c r="H239" s="214">
        <f ca="1" t="shared" si="34"/>
        <v>-0.215536</v>
      </c>
      <c r="I239" s="230"/>
      <c r="J239" s="231"/>
    </row>
    <row r="240" ht="16.5" customHeight="1" spans="1:10">
      <c r="A240" s="208" t="str">
        <f>工程量计算稿!A256</f>
        <v>新增</v>
      </c>
      <c r="B240" s="209" t="str">
        <f>工程量计算稿!B256</f>
        <v>木模制安</v>
      </c>
      <c r="C240" s="210" t="str">
        <f>工程量计算稿!C256</f>
        <v>m2</v>
      </c>
      <c r="D240" s="211"/>
      <c r="E240" s="212">
        <f>结算审核明细表!I241</f>
        <v>1.89</v>
      </c>
      <c r="F240" s="213">
        <f ca="1">工程量计算稿!E256</f>
        <v>1.5904</v>
      </c>
      <c r="G240" s="214">
        <f ca="1" t="shared" si="33"/>
        <v>1.5904</v>
      </c>
      <c r="H240" s="214">
        <f ca="1" t="shared" si="34"/>
        <v>-0.2996</v>
      </c>
      <c r="I240" s="230"/>
      <c r="J240" s="231"/>
    </row>
    <row r="241" ht="16.5" customHeight="1" spans="1:9">
      <c r="A241" s="201" t="str">
        <f>工程量计算稿!A257</f>
        <v>新增</v>
      </c>
      <c r="B241" s="202" t="str">
        <f>工程量计算稿!B257</f>
        <v>排污、供水管工程</v>
      </c>
      <c r="C241" s="203" t="str">
        <f>工程量计算稿!C257</f>
        <v/>
      </c>
      <c r="D241" s="204"/>
      <c r="E241" s="205"/>
      <c r="F241" s="206"/>
      <c r="G241" s="207"/>
      <c r="H241" s="207"/>
      <c r="I241" s="229"/>
    </row>
    <row r="242" ht="16.5" customHeight="1" spans="1:10">
      <c r="A242" s="208">
        <f>工程量计算稿!A258</f>
        <v>1</v>
      </c>
      <c r="B242" s="209" t="str">
        <f>工程量计算稿!B258</f>
        <v>土方开挖</v>
      </c>
      <c r="C242" s="210" t="str">
        <f>工程量计算稿!C258</f>
        <v>m3</v>
      </c>
      <c r="D242" s="211"/>
      <c r="E242" s="212">
        <f>结算审核明细表!I243</f>
        <v>28.42</v>
      </c>
      <c r="F242" s="213">
        <f ca="1">工程量计算稿!E258</f>
        <v>28.416</v>
      </c>
      <c r="G242" s="214">
        <f ca="1">F242-D242</f>
        <v>28.416</v>
      </c>
      <c r="H242" s="214">
        <f ca="1">F242-E242</f>
        <v>-0.00399999999999778</v>
      </c>
      <c r="I242" s="230"/>
      <c r="J242" s="231"/>
    </row>
    <row r="243" ht="16.5" customHeight="1" spans="1:10">
      <c r="A243" s="208">
        <f>工程量计算稿!A259</f>
        <v>2</v>
      </c>
      <c r="B243" s="209" t="str">
        <f>工程量计算稿!B259</f>
        <v>石方开挖</v>
      </c>
      <c r="C243" s="210" t="str">
        <f>工程量计算稿!C259</f>
        <v>m3</v>
      </c>
      <c r="D243" s="211"/>
      <c r="E243" s="212">
        <f>结算审核明细表!I244</f>
        <v>7.1</v>
      </c>
      <c r="F243" s="213">
        <f ca="1">工程量计算稿!E259</f>
        <v>7.104</v>
      </c>
      <c r="G243" s="214">
        <f ca="1">F243-D243</f>
        <v>7.104</v>
      </c>
      <c r="H243" s="214">
        <f ca="1">F243-E243</f>
        <v>0.00400000000000134</v>
      </c>
      <c r="I243" s="230"/>
      <c r="J243" s="231"/>
    </row>
    <row r="244" s="164" customFormat="1" ht="16.5" customHeight="1" spans="1:12">
      <c r="A244" s="208">
        <f>工程量计算稿!A260</f>
        <v>3</v>
      </c>
      <c r="B244" s="209" t="str">
        <f>工程量计算稿!B260</f>
        <v>C20砼 截留环（2个）</v>
      </c>
      <c r="C244" s="210" t="str">
        <f>工程量计算稿!C260</f>
        <v>m3</v>
      </c>
      <c r="D244" s="211"/>
      <c r="E244" s="212">
        <f>结算审核明细表!I245</f>
        <v>1</v>
      </c>
      <c r="F244" s="213">
        <f ca="1">工程量计算稿!E260</f>
        <v>1</v>
      </c>
      <c r="G244" s="214">
        <f ca="1">F244-D244</f>
        <v>1</v>
      </c>
      <c r="H244" s="214">
        <f ca="1">F244-E244</f>
        <v>0</v>
      </c>
      <c r="I244" s="230"/>
      <c r="J244" s="231"/>
      <c r="K244" s="173"/>
      <c r="L244" s="173"/>
    </row>
    <row r="245" s="164" customFormat="1" ht="16.5" customHeight="1" spans="1:12">
      <c r="A245" s="208">
        <f>工程量计算稿!A261</f>
        <v>4</v>
      </c>
      <c r="B245" s="209" t="str">
        <f>工程量计算稿!B261</f>
        <v>土石方回填</v>
      </c>
      <c r="C245" s="210" t="str">
        <f>工程量计算稿!C261</f>
        <v>m3</v>
      </c>
      <c r="D245" s="211"/>
      <c r="E245" s="212">
        <f>结算审核明细表!I246</f>
        <v>35.52</v>
      </c>
      <c r="F245" s="213">
        <f ca="1">工程量计算稿!E261</f>
        <v>35.52</v>
      </c>
      <c r="G245" s="214">
        <f ca="1">F245-D245</f>
        <v>35.52</v>
      </c>
      <c r="H245" s="214">
        <f ca="1">F245-E245</f>
        <v>0</v>
      </c>
      <c r="I245" s="230"/>
      <c r="J245" s="231"/>
      <c r="K245" s="173"/>
      <c r="L245" s="173"/>
    </row>
    <row r="246" ht="16.5" customHeight="1" spans="1:9">
      <c r="A246" s="201" t="str">
        <f>工程量计算稿!A262</f>
        <v>新增</v>
      </c>
      <c r="B246" s="202" t="str">
        <f>工程量计算稿!B262</f>
        <v>临时公路</v>
      </c>
      <c r="C246" s="203" t="str">
        <f>工程量计算稿!C262</f>
        <v/>
      </c>
      <c r="D246" s="204"/>
      <c r="E246" s="205"/>
      <c r="F246" s="206"/>
      <c r="G246" s="207"/>
      <c r="H246" s="207"/>
      <c r="I246" s="229"/>
    </row>
    <row r="247" ht="16.5" customHeight="1" spans="1:12">
      <c r="A247" s="241">
        <f>工程量计算稿!A263</f>
        <v>1</v>
      </c>
      <c r="B247" s="242" t="str">
        <f>工程量计算稿!B263</f>
        <v>临时施工路</v>
      </c>
      <c r="C247" s="243" t="str">
        <f>工程量计算稿!C263</f>
        <v>km</v>
      </c>
      <c r="D247" s="244"/>
      <c r="E247" s="245">
        <f>结算审核明细表!I248</f>
        <v>0.3</v>
      </c>
      <c r="F247" s="246">
        <f ca="1">工程量计算稿!E263</f>
        <v>0</v>
      </c>
      <c r="G247" s="247">
        <f ca="1">F247-D247</f>
        <v>0</v>
      </c>
      <c r="H247" s="247">
        <f ca="1">F247-E247</f>
        <v>-0.3</v>
      </c>
      <c r="I247" s="230"/>
      <c r="J247" s="231" t="str">
        <f>B247</f>
        <v>临时施工路</v>
      </c>
      <c r="K247" s="173">
        <f ca="1">G247</f>
        <v>0</v>
      </c>
      <c r="L247" s="173">
        <f ca="1">H247</f>
        <v>-0.3</v>
      </c>
    </row>
    <row r="248" ht="16.5" customHeight="1" spans="1:9">
      <c r="A248" s="189" t="str">
        <f>工程量计算稿!A264</f>
        <v>五</v>
      </c>
      <c r="B248" s="195" t="str">
        <f>工程量计算稿!B264</f>
        <v>李家山供水工程</v>
      </c>
      <c r="C248" s="196" t="str">
        <f>工程量计算稿!C264</f>
        <v/>
      </c>
      <c r="D248" s="197"/>
      <c r="E248" s="198"/>
      <c r="F248" s="199"/>
      <c r="G248" s="200"/>
      <c r="H248" s="200"/>
      <c r="I248" s="248" t="s">
        <v>88</v>
      </c>
    </row>
    <row r="249" ht="16.5" customHeight="1" spans="1:9">
      <c r="A249" s="201" t="str">
        <f>工程量计算稿!A265</f>
        <v>（一）</v>
      </c>
      <c r="B249" s="202" t="str">
        <f>工程量计算稿!B265</f>
        <v>蓄水池工程</v>
      </c>
      <c r="C249" s="203" t="str">
        <f>工程量计算稿!C265</f>
        <v>个</v>
      </c>
      <c r="D249" s="204"/>
      <c r="E249" s="205"/>
      <c r="F249" s="206"/>
      <c r="G249" s="207"/>
      <c r="H249" s="207"/>
      <c r="I249" s="229"/>
    </row>
    <row r="250" ht="16.5" customHeight="1" spans="1:10">
      <c r="A250" s="208">
        <f>工程量计算稿!A266</f>
        <v>1</v>
      </c>
      <c r="B250" s="209" t="str">
        <f>工程量计算稿!B266</f>
        <v>土方开挖</v>
      </c>
      <c r="C250" s="210" t="str">
        <f>工程量计算稿!C266</f>
        <v>m3</v>
      </c>
      <c r="D250" s="211"/>
      <c r="E250" s="212">
        <f>结算审核明细表!I251</f>
        <v>12.54</v>
      </c>
      <c r="F250" s="213">
        <f ca="1">工程量计算稿!E266</f>
        <v>12.159114</v>
      </c>
      <c r="G250" s="214">
        <f ca="1" t="shared" ref="G250:G269" si="35">F250-D250</f>
        <v>12.159114</v>
      </c>
      <c r="H250" s="214">
        <f ca="1" t="shared" ref="H250:H269" si="36">F250-E250</f>
        <v>-0.380885999999999</v>
      </c>
      <c r="I250" s="230"/>
      <c r="J250" s="231"/>
    </row>
    <row r="251" ht="16.5" customHeight="1" spans="1:10">
      <c r="A251" s="208">
        <f>工程量计算稿!A267</f>
        <v>2</v>
      </c>
      <c r="B251" s="209" t="str">
        <f>工程量计算稿!B267</f>
        <v>石方开挖</v>
      </c>
      <c r="C251" s="210" t="str">
        <f>工程量计算稿!C267</f>
        <v>m3</v>
      </c>
      <c r="D251" s="211"/>
      <c r="E251" s="212">
        <f>结算审核明细表!I252</f>
        <v>10.26</v>
      </c>
      <c r="F251" s="213">
        <f ca="1">工程量计算稿!E267</f>
        <v>9.948366</v>
      </c>
      <c r="G251" s="214">
        <f ca="1" t="shared" si="35"/>
        <v>9.948366</v>
      </c>
      <c r="H251" s="214">
        <f ca="1" t="shared" si="36"/>
        <v>-0.311634</v>
      </c>
      <c r="I251" s="230"/>
      <c r="J251" s="231"/>
    </row>
    <row r="252" ht="16.5" customHeight="1" spans="1:10">
      <c r="A252" s="208">
        <f>工程量计算稿!A268</f>
        <v>3</v>
      </c>
      <c r="B252" s="209" t="str">
        <f>工程量计算稿!B268</f>
        <v>土石方回填</v>
      </c>
      <c r="C252" s="210" t="str">
        <f>工程量计算稿!C268</f>
        <v>m3</v>
      </c>
      <c r="D252" s="211"/>
      <c r="E252" s="212">
        <f>结算审核明细表!I253</f>
        <v>10.2</v>
      </c>
      <c r="F252" s="213">
        <f ca="1">工程量计算稿!E268</f>
        <v>9.324</v>
      </c>
      <c r="G252" s="214">
        <f ca="1" t="shared" si="35"/>
        <v>9.324</v>
      </c>
      <c r="H252" s="214">
        <f ca="1" t="shared" si="36"/>
        <v>-0.875999999999999</v>
      </c>
      <c r="I252" s="230"/>
      <c r="J252" s="231"/>
    </row>
    <row r="253" ht="16.5" customHeight="1" spans="1:10">
      <c r="A253" s="215">
        <f>工程量计算稿!A269</f>
        <v>4</v>
      </c>
      <c r="B253" s="209" t="str">
        <f>工程量计算稿!B269</f>
        <v>C25砼 2级配 32.5水泥 粒径40mm（底板）</v>
      </c>
      <c r="C253" s="210" t="str">
        <f>工程量计算稿!C269</f>
        <v>m3</v>
      </c>
      <c r="D253" s="211"/>
      <c r="E253" s="212">
        <f>结算审核明细表!I254</f>
        <v>2.16</v>
      </c>
      <c r="F253" s="213">
        <f ca="1">工程量计算稿!E269</f>
        <v>2.0535</v>
      </c>
      <c r="G253" s="214">
        <f ca="1" t="shared" si="35"/>
        <v>2.0535</v>
      </c>
      <c r="H253" s="214">
        <f ca="1" t="shared" si="36"/>
        <v>-0.1065</v>
      </c>
      <c r="I253" s="230"/>
      <c r="J253" s="231"/>
    </row>
    <row r="254" ht="16.5" customHeight="1" spans="1:10">
      <c r="A254" s="216"/>
      <c r="B254" s="209" t="str">
        <f>工程量计算稿!B270</f>
        <v>C25砼 2级配 32.5水泥 粒径40mm（侧墙）</v>
      </c>
      <c r="C254" s="210" t="str">
        <f>工程量计算稿!C270</f>
        <v>m3</v>
      </c>
      <c r="D254" s="211"/>
      <c r="E254" s="212">
        <f>结算审核明细表!I255</f>
        <v>9.33</v>
      </c>
      <c r="F254" s="213">
        <f ca="1">工程量计算稿!E270</f>
        <v>7.886592</v>
      </c>
      <c r="G254" s="214">
        <f ca="1" t="shared" si="35"/>
        <v>7.886592</v>
      </c>
      <c r="H254" s="214">
        <f ca="1" t="shared" si="36"/>
        <v>-1.443408</v>
      </c>
      <c r="I254" s="230"/>
      <c r="J254" s="231"/>
    </row>
    <row r="255" ht="16.5" customHeight="1" spans="1:10">
      <c r="A255" s="217"/>
      <c r="B255" s="209" t="str">
        <f>工程量计算稿!B271</f>
        <v>C25砼 2级配 32.5水泥 粒径40mm（顶板）</v>
      </c>
      <c r="C255" s="210" t="str">
        <f>工程量计算稿!C271</f>
        <v>m3</v>
      </c>
      <c r="D255" s="211"/>
      <c r="E255" s="212">
        <f>结算审核明细表!I256</f>
        <v>1.55</v>
      </c>
      <c r="F255" s="213">
        <f ca="1">工程量计算稿!E271</f>
        <v>1.20012</v>
      </c>
      <c r="G255" s="214">
        <f ca="1" t="shared" si="35"/>
        <v>1.20012</v>
      </c>
      <c r="H255" s="214">
        <f ca="1" t="shared" si="36"/>
        <v>-0.34988</v>
      </c>
      <c r="I255" s="230"/>
      <c r="J255" s="231"/>
    </row>
    <row r="256" ht="16.5" customHeight="1" spans="1:10">
      <c r="A256" s="208">
        <f>工程量计算稿!A272</f>
        <v>5</v>
      </c>
      <c r="B256" s="209" t="str">
        <f>工程量计算稿!B272</f>
        <v>M7.5砖砌</v>
      </c>
      <c r="C256" s="210" t="str">
        <f>工程量计算稿!C272</f>
        <v>m3</v>
      </c>
      <c r="D256" s="211"/>
      <c r="E256" s="212"/>
      <c r="F256" s="213">
        <f ca="1">工程量计算稿!E272</f>
        <v>0</v>
      </c>
      <c r="G256" s="214">
        <f ca="1" t="shared" si="35"/>
        <v>0</v>
      </c>
      <c r="H256" s="214">
        <f ca="1" t="shared" si="36"/>
        <v>0</v>
      </c>
      <c r="I256" s="230"/>
      <c r="J256" s="231"/>
    </row>
    <row r="257" ht="16.5" customHeight="1" spans="1:10">
      <c r="A257" s="208">
        <f>工程量计算稿!A273</f>
        <v>6</v>
      </c>
      <c r="B257" s="209" t="str">
        <f>工程量计算稿!B273</f>
        <v>木模制安</v>
      </c>
      <c r="C257" s="210" t="str">
        <f>工程量计算稿!C273</f>
        <v>m2</v>
      </c>
      <c r="D257" s="211"/>
      <c r="E257" s="212">
        <f>结算审核明细表!I258</f>
        <v>91.49</v>
      </c>
      <c r="F257" s="213">
        <f ca="1">工程量计算稿!E273</f>
        <v>74.5958</v>
      </c>
      <c r="G257" s="214">
        <f ca="1" t="shared" si="35"/>
        <v>74.5958</v>
      </c>
      <c r="H257" s="214">
        <f ca="1" t="shared" si="36"/>
        <v>-16.8942</v>
      </c>
      <c r="I257" s="230"/>
      <c r="J257" s="231"/>
    </row>
    <row r="258" ht="16.5" customHeight="1" spans="1:10">
      <c r="A258" s="208">
        <f>工程量计算稿!A274</f>
        <v>7</v>
      </c>
      <c r="B258" s="209" t="str">
        <f>工程量计算稿!B274</f>
        <v>钢筋制安</v>
      </c>
      <c r="C258" s="210" t="str">
        <f>工程量计算稿!C274</f>
        <v>kg</v>
      </c>
      <c r="D258" s="211"/>
      <c r="E258" s="218">
        <f>结算审核明细表!I259*1000</f>
        <v>610</v>
      </c>
      <c r="F258" s="213">
        <f ca="1">工程量计算稿!E274</f>
        <v>516.52149</v>
      </c>
      <c r="G258" s="214">
        <f ca="1" t="shared" si="35"/>
        <v>516.52149</v>
      </c>
      <c r="H258" s="214">
        <f ca="1" t="shared" si="36"/>
        <v>-93.47851</v>
      </c>
      <c r="I258" s="230"/>
      <c r="J258" s="231"/>
    </row>
    <row r="259" ht="16.5" customHeight="1" spans="1:10">
      <c r="A259" s="208">
        <f>工程量计算稿!A278</f>
        <v>8</v>
      </c>
      <c r="B259" s="209" t="str">
        <f>工程量计算稿!B278</f>
        <v>M10沙浆抹面</v>
      </c>
      <c r="C259" s="210" t="str">
        <f>工程量计算稿!C278</f>
        <v>m2</v>
      </c>
      <c r="D259" s="211"/>
      <c r="E259" s="212">
        <f>结算审核明细表!I260</f>
        <v>47.57</v>
      </c>
      <c r="F259" s="213">
        <f ca="1">工程量计算稿!E278</f>
        <v>0</v>
      </c>
      <c r="G259" s="214">
        <f ca="1" t="shared" si="35"/>
        <v>0</v>
      </c>
      <c r="H259" s="214">
        <f ca="1" t="shared" si="36"/>
        <v>-47.57</v>
      </c>
      <c r="I259" s="230"/>
      <c r="J259" s="231"/>
    </row>
    <row r="260" s="164" customFormat="1" ht="16.5" customHeight="1" spans="1:12">
      <c r="A260" s="208">
        <f>工程量计算稿!A279</f>
        <v>9</v>
      </c>
      <c r="B260" s="209" t="str">
        <f>工程量计算稿!B279</f>
        <v>M10沙浆抹面瓷砖粘贴</v>
      </c>
      <c r="C260" s="210" t="str">
        <f>工程量计算稿!C279</f>
        <v>m2</v>
      </c>
      <c r="D260" s="211"/>
      <c r="E260" s="212">
        <f>结算审核明细表!I261</f>
        <v>23.07</v>
      </c>
      <c r="F260" s="213">
        <f ca="1">工程量计算稿!E279</f>
        <v>19.11</v>
      </c>
      <c r="G260" s="214">
        <f ca="1" t="shared" si="35"/>
        <v>19.11</v>
      </c>
      <c r="H260" s="214">
        <f ca="1" t="shared" si="36"/>
        <v>-3.96</v>
      </c>
      <c r="I260" s="230"/>
      <c r="J260" s="231"/>
      <c r="K260" s="173"/>
      <c r="L260" s="173"/>
    </row>
    <row r="261" s="165" customFormat="1" ht="16.5" customHeight="1" spans="1:12">
      <c r="A261" s="208">
        <f>工程量计算稿!A280</f>
        <v>10</v>
      </c>
      <c r="B261" s="209" t="str">
        <f>工程量计算稿!B280</f>
        <v>人力二次转运材料（运距300米)</v>
      </c>
      <c r="C261" s="210" t="str">
        <f>工程量计算稿!C280</f>
        <v>吨/km</v>
      </c>
      <c r="D261" s="211"/>
      <c r="E261" s="212"/>
      <c r="F261" s="213">
        <f ca="1">工程量计算稿!E280</f>
        <v>0</v>
      </c>
      <c r="G261" s="214">
        <f ca="1" t="shared" si="35"/>
        <v>0</v>
      </c>
      <c r="H261" s="214">
        <f ca="1" t="shared" si="36"/>
        <v>0</v>
      </c>
      <c r="I261" s="230"/>
      <c r="J261" s="172"/>
      <c r="K261" s="256"/>
      <c r="L261" s="256"/>
    </row>
    <row r="262" ht="16.5" customHeight="1" spans="1:10">
      <c r="A262" s="208">
        <f>工程量计算稿!A281</f>
        <v>11</v>
      </c>
      <c r="B262" s="209" t="str">
        <f>工程量计算稿!B281</f>
        <v>通气进人孔</v>
      </c>
      <c r="C262" s="210" t="str">
        <f>工程量计算稿!C281</f>
        <v>套</v>
      </c>
      <c r="D262" s="211"/>
      <c r="E262" s="212">
        <f>结算审核明细表!I263</f>
        <v>1</v>
      </c>
      <c r="F262" s="213">
        <f ca="1">工程量计算稿!E281</f>
        <v>1</v>
      </c>
      <c r="G262" s="214">
        <f ca="1" t="shared" si="35"/>
        <v>1</v>
      </c>
      <c r="H262" s="214">
        <f ca="1" t="shared" si="36"/>
        <v>0</v>
      </c>
      <c r="I262" s="230"/>
      <c r="J262" s="231"/>
    </row>
    <row r="263" ht="16.5" customHeight="1" spans="1:10">
      <c r="A263" s="208" t="str">
        <f>工程量计算稿!A282</f>
        <v>新增</v>
      </c>
      <c r="B263" s="209" t="str">
        <f>工程量计算稿!B282</f>
        <v>电力线</v>
      </c>
      <c r="C263" s="210" t="str">
        <f>工程量计算稿!C282</f>
        <v>m</v>
      </c>
      <c r="D263" s="211"/>
      <c r="E263" s="212"/>
      <c r="F263" s="213">
        <f ca="1">工程量计算稿!E282</f>
        <v>150</v>
      </c>
      <c r="G263" s="214">
        <f ca="1" t="shared" si="35"/>
        <v>150</v>
      </c>
      <c r="H263" s="214">
        <f ca="1" t="shared" si="36"/>
        <v>150</v>
      </c>
      <c r="I263" s="230"/>
      <c r="J263" s="231"/>
    </row>
    <row r="264" ht="16.5" customHeight="1" spans="1:10">
      <c r="A264" s="208" t="str">
        <f>工程量计算稿!A283</f>
        <v>新增</v>
      </c>
      <c r="B264" s="209" t="str">
        <f>工程量计算稿!B283</f>
        <v>杀毒器</v>
      </c>
      <c r="C264" s="210" t="str">
        <f>工程量计算稿!C283</f>
        <v>台</v>
      </c>
      <c r="D264" s="211"/>
      <c r="E264" s="212"/>
      <c r="F264" s="213">
        <f ca="1">工程量计算稿!E283</f>
        <v>1</v>
      </c>
      <c r="G264" s="214">
        <f ca="1" t="shared" si="35"/>
        <v>1</v>
      </c>
      <c r="H264" s="214">
        <f ca="1" t="shared" si="36"/>
        <v>1</v>
      </c>
      <c r="I264" s="230"/>
      <c r="J264" s="231"/>
    </row>
    <row r="265" ht="16.5" customHeight="1" spans="1:10">
      <c r="A265" s="208" t="str">
        <f>工程量计算稿!A284</f>
        <v>新增</v>
      </c>
      <c r="B265" s="209" t="str">
        <f>工程量计算稿!B284</f>
        <v>C20砼垫层</v>
      </c>
      <c r="C265" s="210" t="str">
        <f>工程量计算稿!C284</f>
        <v>m3</v>
      </c>
      <c r="D265" s="211"/>
      <c r="E265" s="212">
        <f>结算审核明细表!I266</f>
        <v>0.72</v>
      </c>
      <c r="F265" s="213">
        <f ca="1">工程量计算稿!E284</f>
        <v>0.6845</v>
      </c>
      <c r="G265" s="214">
        <f ca="1" t="shared" si="35"/>
        <v>0.6845</v>
      </c>
      <c r="H265" s="214">
        <f ca="1" t="shared" si="36"/>
        <v>-0.0354999999999999</v>
      </c>
      <c r="I265" s="230"/>
      <c r="J265" s="231"/>
    </row>
    <row r="266" ht="16.5" customHeight="1" spans="1:10">
      <c r="A266" s="208" t="str">
        <f>工程量计算稿!A285</f>
        <v>新增</v>
      </c>
      <c r="B266" s="209" t="str">
        <f>工程量计算稿!B285</f>
        <v>爬梯制安</v>
      </c>
      <c r="C266" s="210" t="str">
        <f>工程量计算稿!C285</f>
        <v>步</v>
      </c>
      <c r="D266" s="211"/>
      <c r="E266" s="212">
        <f>结算审核明细表!I267</f>
        <v>8</v>
      </c>
      <c r="F266" s="213">
        <f ca="1">工程量计算稿!E285</f>
        <v>8</v>
      </c>
      <c r="G266" s="214">
        <f ca="1" t="shared" si="35"/>
        <v>8</v>
      </c>
      <c r="H266" s="214">
        <f ca="1" t="shared" si="36"/>
        <v>0</v>
      </c>
      <c r="I266" s="230"/>
      <c r="J266" s="231"/>
    </row>
    <row r="267" ht="16.5" customHeight="1" spans="1:10">
      <c r="A267" s="208" t="str">
        <f>工程量计算稿!A286</f>
        <v>新增</v>
      </c>
      <c r="B267" s="209" t="str">
        <f>工程量计算稿!B286</f>
        <v>脚手架</v>
      </c>
      <c r="C267" s="210" t="str">
        <f>工程量计算稿!C286</f>
        <v>m2</v>
      </c>
      <c r="D267" s="211"/>
      <c r="E267" s="212">
        <f>结算审核明细表!I268</f>
        <v>11.28</v>
      </c>
      <c r="F267" s="213">
        <f ca="1">工程量计算稿!E286</f>
        <v>0</v>
      </c>
      <c r="G267" s="214">
        <f ca="1" t="shared" si="35"/>
        <v>0</v>
      </c>
      <c r="H267" s="214">
        <f ca="1" t="shared" si="36"/>
        <v>-11.28</v>
      </c>
      <c r="I267" s="230"/>
      <c r="J267" s="231"/>
    </row>
    <row r="268" ht="16.5" customHeight="1" spans="1:10">
      <c r="A268" s="208" t="str">
        <f>工程量计算稿!A287</f>
        <v>新增</v>
      </c>
      <c r="B268" s="209" t="str">
        <f>工程量计算稿!B287</f>
        <v>池顶不锈钢护栏</v>
      </c>
      <c r="C268" s="210" t="str">
        <f>工程量计算稿!C287</f>
        <v>m2</v>
      </c>
      <c r="D268" s="211"/>
      <c r="E268" s="212">
        <f>结算审核明细表!I269</f>
        <v>21.6</v>
      </c>
      <c r="F268" s="213">
        <f ca="1">工程量计算稿!E287</f>
        <v>21</v>
      </c>
      <c r="G268" s="214">
        <f ca="1" t="shared" si="35"/>
        <v>21</v>
      </c>
      <c r="H268" s="214">
        <f ca="1" t="shared" si="36"/>
        <v>-0.600000000000001</v>
      </c>
      <c r="I268" s="230"/>
      <c r="J268" s="231"/>
    </row>
    <row r="269" ht="16.5" customHeight="1" spans="1:10">
      <c r="A269" s="208" t="str">
        <f>工程量计算稿!A288</f>
        <v>新增</v>
      </c>
      <c r="B269" s="209" t="str">
        <f>工程量计算稿!B288</f>
        <v>饮水安全标志牌</v>
      </c>
      <c r="C269" s="210" t="str">
        <f>工程量计算稿!C288</f>
        <v>个</v>
      </c>
      <c r="D269" s="211"/>
      <c r="E269" s="212">
        <f>结算审核明细表!I270</f>
        <v>1</v>
      </c>
      <c r="F269" s="213">
        <f ca="1">工程量计算稿!E288</f>
        <v>1</v>
      </c>
      <c r="G269" s="214">
        <f ca="1" t="shared" si="35"/>
        <v>1</v>
      </c>
      <c r="H269" s="214">
        <f ca="1" t="shared" si="36"/>
        <v>0</v>
      </c>
      <c r="I269" s="230"/>
      <c r="J269" s="231"/>
    </row>
    <row r="270" ht="16.5" customHeight="1" spans="1:9">
      <c r="A270" s="201" t="str">
        <f>工程量计算稿!A289</f>
        <v>（二）</v>
      </c>
      <c r="B270" s="202" t="str">
        <f>工程量计算稿!B289</f>
        <v>闸室工程</v>
      </c>
      <c r="C270" s="203" t="str">
        <f>工程量计算稿!C289</f>
        <v>个</v>
      </c>
      <c r="D270" s="204"/>
      <c r="E270" s="205"/>
      <c r="F270" s="206"/>
      <c r="G270" s="207"/>
      <c r="H270" s="207"/>
      <c r="I270" s="229"/>
    </row>
    <row r="271" ht="16.5" customHeight="1" spans="1:10">
      <c r="A271" s="208">
        <f>工程量计算稿!A290</f>
        <v>1</v>
      </c>
      <c r="B271" s="209" t="str">
        <f>工程量计算稿!B290</f>
        <v>土方开挖</v>
      </c>
      <c r="C271" s="210" t="str">
        <f>工程量计算稿!C290</f>
        <v>m3</v>
      </c>
      <c r="D271" s="211"/>
      <c r="E271" s="212">
        <f>结算审核明细表!I272</f>
        <v>0.84</v>
      </c>
      <c r="F271" s="213">
        <f ca="1">工程量计算稿!E290</f>
        <v>0.728</v>
      </c>
      <c r="G271" s="214">
        <f ca="1" t="shared" ref="G271:G279" si="37">F271-D271</f>
        <v>0.728</v>
      </c>
      <c r="H271" s="214">
        <f ca="1" t="shared" ref="H271:H279" si="38">F271-E271</f>
        <v>-0.112</v>
      </c>
      <c r="I271" s="230"/>
      <c r="J271" s="231"/>
    </row>
    <row r="272" ht="16.5" customHeight="1" spans="1:10">
      <c r="A272" s="208">
        <f>工程量计算稿!A291</f>
        <v>2</v>
      </c>
      <c r="B272" s="209" t="str">
        <f>工程量计算稿!B291</f>
        <v>石方开挖</v>
      </c>
      <c r="C272" s="210" t="str">
        <f>工程量计算稿!C291</f>
        <v>m3</v>
      </c>
      <c r="D272" s="211"/>
      <c r="E272" s="212">
        <f>结算审核明细表!I273</f>
        <v>0.84</v>
      </c>
      <c r="F272" s="213">
        <f ca="1">工程量计算稿!E291</f>
        <v>0.728</v>
      </c>
      <c r="G272" s="214">
        <f ca="1" t="shared" si="37"/>
        <v>0.728</v>
      </c>
      <c r="H272" s="214">
        <f ca="1" t="shared" si="38"/>
        <v>-0.112</v>
      </c>
      <c r="I272" s="230"/>
      <c r="J272" s="231"/>
    </row>
    <row r="273" ht="16.5" customHeight="1" spans="1:10">
      <c r="A273" s="208">
        <f>工程量计算稿!A292</f>
        <v>3</v>
      </c>
      <c r="B273" s="209" t="str">
        <f>工程量计算稿!B292</f>
        <v>土石方回填</v>
      </c>
      <c r="C273" s="210" t="str">
        <f>工程量计算稿!C292</f>
        <v>m3</v>
      </c>
      <c r="D273" s="211"/>
      <c r="E273" s="212">
        <f>结算审核明细表!I274</f>
        <v>0.34</v>
      </c>
      <c r="F273" s="213">
        <f ca="1">工程量计算稿!E292</f>
        <v>0.322</v>
      </c>
      <c r="G273" s="214">
        <f ca="1" t="shared" si="37"/>
        <v>0.322</v>
      </c>
      <c r="H273" s="214">
        <f ca="1" t="shared" si="38"/>
        <v>-0.0180000000000001</v>
      </c>
      <c r="I273" s="230"/>
      <c r="J273" s="231"/>
    </row>
    <row r="274" ht="16.5" customHeight="1" spans="1:10">
      <c r="A274" s="208">
        <f>工程量计算稿!A293</f>
        <v>4</v>
      </c>
      <c r="B274" s="209" t="str">
        <f>工程量计算稿!B293</f>
        <v>C25混凝土底板浇筑【资料C20】</v>
      </c>
      <c r="C274" s="210" t="str">
        <f>工程量计算稿!C293</f>
        <v>m3</v>
      </c>
      <c r="D274" s="211"/>
      <c r="E274" s="212">
        <f>结算审核明细表!I275</f>
        <v>0.23</v>
      </c>
      <c r="F274" s="213">
        <f ca="1">工程量计算稿!E293</f>
        <v>0.198</v>
      </c>
      <c r="G274" s="214">
        <f ca="1" t="shared" si="37"/>
        <v>0.198</v>
      </c>
      <c r="H274" s="214">
        <f ca="1" t="shared" si="38"/>
        <v>-0.032</v>
      </c>
      <c r="I274" s="239" t="s">
        <v>87</v>
      </c>
      <c r="J274" s="231"/>
    </row>
    <row r="275" ht="16.5" customHeight="1" spans="1:10">
      <c r="A275" s="208">
        <f>工程量计算稿!A294</f>
        <v>5</v>
      </c>
      <c r="B275" s="209" t="str">
        <f>工程量计算稿!B294</f>
        <v>M7.5砖砌围墙</v>
      </c>
      <c r="C275" s="210" t="str">
        <f>工程量计算稿!C294</f>
        <v>m3</v>
      </c>
      <c r="D275" s="211"/>
      <c r="E275" s="212">
        <f>结算审核明细表!I276</f>
        <v>0.82</v>
      </c>
      <c r="F275" s="213">
        <f ca="1">工程量计算稿!E294</f>
        <v>0.61152</v>
      </c>
      <c r="G275" s="214">
        <f ca="1" t="shared" si="37"/>
        <v>0.61152</v>
      </c>
      <c r="H275" s="214">
        <f ca="1" t="shared" si="38"/>
        <v>-0.20848</v>
      </c>
      <c r="I275" s="230"/>
      <c r="J275" s="231"/>
    </row>
    <row r="276" ht="16.5" customHeight="1" spans="1:10">
      <c r="A276" s="208">
        <f>工程量计算稿!A295</f>
        <v>6</v>
      </c>
      <c r="B276" s="209" t="str">
        <f>工程量计算稿!B295</f>
        <v>M10沙浆抹面</v>
      </c>
      <c r="C276" s="210" t="str">
        <f>工程量计算稿!C295</f>
        <v>m2</v>
      </c>
      <c r="D276" s="211"/>
      <c r="E276" s="212">
        <f>结算审核明细表!I277</f>
        <v>3.1</v>
      </c>
      <c r="F276" s="213">
        <f ca="1">工程量计算稿!E295</f>
        <v>0</v>
      </c>
      <c r="G276" s="214">
        <f ca="1" t="shared" si="37"/>
        <v>0</v>
      </c>
      <c r="H276" s="214">
        <f ca="1" t="shared" si="38"/>
        <v>-3.1</v>
      </c>
      <c r="I276" s="230"/>
      <c r="J276" s="231"/>
    </row>
    <row r="277" ht="16.5" customHeight="1" spans="1:10">
      <c r="A277" s="208" t="str">
        <f>工程量计算稿!A296</f>
        <v>新增</v>
      </c>
      <c r="B277" s="209" t="str">
        <f>工程量计算稿!B296</f>
        <v>C25混凝土顶板浇筑</v>
      </c>
      <c r="C277" s="210" t="str">
        <f>工程量计算稿!C296</f>
        <v>m3</v>
      </c>
      <c r="D277" s="211"/>
      <c r="E277" s="212">
        <f>结算审核明细表!I278</f>
        <v>0.11</v>
      </c>
      <c r="F277" s="213">
        <f ca="1">工程量计算稿!E296</f>
        <v>0.0924</v>
      </c>
      <c r="G277" s="214">
        <f ca="1" t="shared" si="37"/>
        <v>0.0924</v>
      </c>
      <c r="H277" s="214">
        <f ca="1" t="shared" si="38"/>
        <v>-0.0176</v>
      </c>
      <c r="I277" s="230"/>
      <c r="J277" s="231"/>
    </row>
    <row r="278" ht="16.5" customHeight="1" spans="1:10">
      <c r="A278" s="208" t="str">
        <f>工程量计算稿!A297</f>
        <v>新增</v>
      </c>
      <c r="B278" s="209" t="str">
        <f>工程量计算稿!B297</f>
        <v>木模制安</v>
      </c>
      <c r="C278" s="210" t="str">
        <f>工程量计算稿!C297</f>
        <v>m2</v>
      </c>
      <c r="D278" s="211"/>
      <c r="E278" s="212">
        <f>结算审核明细表!I279</f>
        <v>0.9</v>
      </c>
      <c r="F278" s="213">
        <f ca="1">工程量计算稿!E297</f>
        <v>0.7684</v>
      </c>
      <c r="G278" s="214">
        <f ca="1" t="shared" si="37"/>
        <v>0.7684</v>
      </c>
      <c r="H278" s="214">
        <f ca="1" t="shared" si="38"/>
        <v>-0.1316</v>
      </c>
      <c r="I278" s="230"/>
      <c r="J278" s="231"/>
    </row>
    <row r="279" ht="16.5" customHeight="1" spans="1:10">
      <c r="A279" s="208" t="str">
        <f>工程量计算稿!A298</f>
        <v>新增</v>
      </c>
      <c r="B279" s="209" t="str">
        <f>工程量计算稿!B298</f>
        <v>钢筋制安</v>
      </c>
      <c r="C279" s="210" t="str">
        <f>工程量计算稿!C298</f>
        <v>kg</v>
      </c>
      <c r="D279" s="211"/>
      <c r="E279" s="218">
        <f>结算审核明细表!I280*1000</f>
        <v>10</v>
      </c>
      <c r="F279" s="213">
        <f ca="1">工程量计算稿!E298</f>
        <v>5.2614</v>
      </c>
      <c r="G279" s="214">
        <f ca="1" t="shared" si="37"/>
        <v>5.2614</v>
      </c>
      <c r="H279" s="214">
        <f ca="1" t="shared" si="38"/>
        <v>-4.7386</v>
      </c>
      <c r="I279" s="230"/>
      <c r="J279" s="231"/>
    </row>
    <row r="280" ht="16.5" customHeight="1" spans="1:9">
      <c r="A280" s="201" t="str">
        <f>工程量计算稿!A299</f>
        <v>新增</v>
      </c>
      <c r="B280" s="202" t="str">
        <f>工程量计算稿!B299</f>
        <v>集水池工程</v>
      </c>
      <c r="C280" s="203" t="str">
        <f>工程量计算稿!C299</f>
        <v>个</v>
      </c>
      <c r="D280" s="204"/>
      <c r="E280" s="205"/>
      <c r="F280" s="206"/>
      <c r="G280" s="207"/>
      <c r="H280" s="207"/>
      <c r="I280" s="229"/>
    </row>
    <row r="281" ht="16.5" customHeight="1" spans="1:10">
      <c r="A281" s="208">
        <f>工程量计算稿!A300</f>
        <v>1</v>
      </c>
      <c r="B281" s="209" t="str">
        <f>工程量计算稿!B300</f>
        <v>土方开挖</v>
      </c>
      <c r="C281" s="210" t="str">
        <f>工程量计算稿!C300</f>
        <v>m3</v>
      </c>
      <c r="D281" s="211"/>
      <c r="E281" s="212">
        <f>结算审核明细表!I282</f>
        <v>10.3</v>
      </c>
      <c r="F281" s="213">
        <f ca="1">工程量计算稿!E300</f>
        <v>0</v>
      </c>
      <c r="G281" s="214">
        <f ca="1" t="shared" ref="G281:G286" si="39">F281-D281</f>
        <v>0</v>
      </c>
      <c r="H281" s="214">
        <f ca="1" t="shared" ref="H281:H286" si="40">F281-E281</f>
        <v>-10.3</v>
      </c>
      <c r="I281" s="230"/>
      <c r="J281" s="231"/>
    </row>
    <row r="282" ht="16.5" customHeight="1" spans="1:10">
      <c r="A282" s="208">
        <f>工程量计算稿!A301</f>
        <v>2</v>
      </c>
      <c r="B282" s="209" t="str">
        <f>工程量计算稿!B301</f>
        <v>石方开挖</v>
      </c>
      <c r="C282" s="210" t="str">
        <f>工程量计算稿!C301</f>
        <v>m3</v>
      </c>
      <c r="D282" s="211"/>
      <c r="E282" s="212">
        <f>结算审核明细表!I283</f>
        <v>6.86</v>
      </c>
      <c r="F282" s="213">
        <f ca="1">工程量计算稿!E301</f>
        <v>0</v>
      </c>
      <c r="G282" s="214">
        <f ca="1" t="shared" si="39"/>
        <v>0</v>
      </c>
      <c r="H282" s="214">
        <f ca="1" t="shared" si="40"/>
        <v>-6.86</v>
      </c>
      <c r="I282" s="230"/>
      <c r="J282" s="231"/>
    </row>
    <row r="283" s="164" customFormat="1" ht="16.5" customHeight="1" spans="1:12">
      <c r="A283" s="208">
        <f>工程量计算稿!A302</f>
        <v>3</v>
      </c>
      <c r="B283" s="209" t="str">
        <f>工程量计算稿!B302</f>
        <v>C25砼现浇基础</v>
      </c>
      <c r="C283" s="210" t="str">
        <f>工程量计算稿!C302</f>
        <v>m3</v>
      </c>
      <c r="D283" s="211"/>
      <c r="E283" s="212">
        <f>结算审核明细表!I284</f>
        <v>1.68</v>
      </c>
      <c r="F283" s="213">
        <f ca="1">工程量计算稿!E302</f>
        <v>0</v>
      </c>
      <c r="G283" s="214">
        <f ca="1" t="shared" si="39"/>
        <v>0</v>
      </c>
      <c r="H283" s="214">
        <f ca="1" t="shared" si="40"/>
        <v>-1.68</v>
      </c>
      <c r="I283" s="230"/>
      <c r="J283" s="231"/>
      <c r="K283" s="173"/>
      <c r="L283" s="173"/>
    </row>
    <row r="284" ht="16.5" customHeight="1" spans="1:10">
      <c r="A284" s="208">
        <f>工程量计算稿!A303</f>
        <v>4</v>
      </c>
      <c r="B284" s="209" t="str">
        <f>工程量计算稿!B303</f>
        <v>M7.5砖砌</v>
      </c>
      <c r="C284" s="210" t="str">
        <f>工程量计算稿!C303</f>
        <v>m3</v>
      </c>
      <c r="D284" s="211"/>
      <c r="E284" s="212">
        <f>结算审核明细表!I285</f>
        <v>5.73</v>
      </c>
      <c r="F284" s="213">
        <f ca="1">工程量计算稿!E303</f>
        <v>0</v>
      </c>
      <c r="G284" s="214">
        <f ca="1" t="shared" si="39"/>
        <v>0</v>
      </c>
      <c r="H284" s="214">
        <f ca="1" t="shared" si="40"/>
        <v>-5.73</v>
      </c>
      <c r="I284" s="230"/>
      <c r="J284" s="231"/>
    </row>
    <row r="285" ht="16.5" customHeight="1" spans="1:10">
      <c r="A285" s="208">
        <f>工程量计算稿!A304</f>
        <v>5</v>
      </c>
      <c r="B285" s="209" t="str">
        <f>工程量计算稿!B304</f>
        <v>M10沙浆抹面</v>
      </c>
      <c r="C285" s="210" t="str">
        <f>工程量计算稿!C304</f>
        <v>m2</v>
      </c>
      <c r="D285" s="211"/>
      <c r="E285" s="212">
        <f>结算审核明细表!I286</f>
        <v>23.59</v>
      </c>
      <c r="F285" s="213">
        <f ca="1">工程量计算稿!E304</f>
        <v>0</v>
      </c>
      <c r="G285" s="214">
        <f ca="1" t="shared" si="39"/>
        <v>0</v>
      </c>
      <c r="H285" s="214">
        <f ca="1" t="shared" si="40"/>
        <v>-23.59</v>
      </c>
      <c r="I285" s="230"/>
      <c r="J285" s="231"/>
    </row>
    <row r="286" ht="16.5" customHeight="1" spans="1:10">
      <c r="A286" s="208">
        <f>工程量计算稿!A305</f>
        <v>6</v>
      </c>
      <c r="B286" s="209" t="str">
        <f>工程量计算稿!B305</f>
        <v>钢筋制安</v>
      </c>
      <c r="C286" s="210" t="str">
        <f>工程量计算稿!C305</f>
        <v>kg</v>
      </c>
      <c r="D286" s="211"/>
      <c r="E286" s="218">
        <f>结算审核明细表!I287*1000</f>
        <v>150</v>
      </c>
      <c r="F286" s="213">
        <f ca="1">工程量计算稿!E305</f>
        <v>0</v>
      </c>
      <c r="G286" s="214">
        <f ca="1" t="shared" si="39"/>
        <v>0</v>
      </c>
      <c r="H286" s="214">
        <f ca="1" t="shared" si="40"/>
        <v>-150</v>
      </c>
      <c r="I286" s="230"/>
      <c r="J286" s="231"/>
    </row>
    <row r="287" ht="16.5" customHeight="1" spans="1:9">
      <c r="A287" s="201" t="str">
        <f>工程量计算稿!A306</f>
        <v>（四）</v>
      </c>
      <c r="B287" s="202" t="str">
        <f>工程量计算稿!B306</f>
        <v>建筑材料人力二次运输100米</v>
      </c>
      <c r="C287" s="203" t="str">
        <f>工程量计算稿!C306</f>
        <v/>
      </c>
      <c r="D287" s="204"/>
      <c r="E287" s="205"/>
      <c r="F287" s="206"/>
      <c r="G287" s="207"/>
      <c r="H287" s="207"/>
      <c r="I287" s="229"/>
    </row>
    <row r="288" ht="16.5" customHeight="1" spans="1:9">
      <c r="A288" s="208">
        <f>工程量计算稿!A307</f>
        <v>1</v>
      </c>
      <c r="B288" s="209" t="str">
        <f>工程量计算稿!B307</f>
        <v>水泥</v>
      </c>
      <c r="C288" s="210" t="str">
        <f>工程量计算稿!C307</f>
        <v>t</v>
      </c>
      <c r="D288" s="211"/>
      <c r="E288" s="212">
        <f>结算审核明细表!I289</f>
        <v>6.64</v>
      </c>
      <c r="F288" s="213">
        <f ca="1">工程量计算稿!E307</f>
        <v>4.6670239318132</v>
      </c>
      <c r="G288" s="214">
        <f ca="1">F288-D288</f>
        <v>4.6670239318132</v>
      </c>
      <c r="H288" s="214">
        <f ca="1">F288-E288</f>
        <v>-1.9729760681868</v>
      </c>
      <c r="I288" s="230"/>
    </row>
    <row r="289" ht="16.5" customHeight="1" spans="1:9">
      <c r="A289" s="208">
        <f>工程量计算稿!A308</f>
        <v>2</v>
      </c>
      <c r="B289" s="209" t="str">
        <f>工程量计算稿!B308</f>
        <v>砂</v>
      </c>
      <c r="C289" s="210" t="str">
        <f>工程量计算稿!C308</f>
        <v>m3</v>
      </c>
      <c r="D289" s="211"/>
      <c r="E289" s="212">
        <f>结算审核明细表!I290</f>
        <v>10.88</v>
      </c>
      <c r="F289" s="213">
        <f ca="1">工程量计算稿!E308</f>
        <v>6.6596062028</v>
      </c>
      <c r="G289" s="214">
        <f ca="1">F289-D289</f>
        <v>6.6596062028</v>
      </c>
      <c r="H289" s="214">
        <f ca="1">F289-E289</f>
        <v>-4.2203937972</v>
      </c>
      <c r="I289" s="230"/>
    </row>
    <row r="290" ht="16.5" customHeight="1" spans="1:9">
      <c r="A290" s="208">
        <f>工程量计算稿!A309</f>
        <v>3</v>
      </c>
      <c r="B290" s="209" t="str">
        <f>工程量计算稿!B309</f>
        <v>碎石</v>
      </c>
      <c r="C290" s="210" t="str">
        <f>工程量计算稿!C309</f>
        <v>m3</v>
      </c>
      <c r="D290" s="211"/>
      <c r="E290" s="212">
        <f>结算审核明细表!I291</f>
        <v>12.62</v>
      </c>
      <c r="F290" s="213">
        <f ca="1">工程量计算稿!E309</f>
        <v>10.4989560592</v>
      </c>
      <c r="G290" s="214">
        <f ca="1">F290-D290</f>
        <v>10.4989560592</v>
      </c>
      <c r="H290" s="214">
        <f ca="1">F290-E290</f>
        <v>-2.1210439408</v>
      </c>
      <c r="I290" s="230"/>
    </row>
    <row r="291" ht="16.5" customHeight="1" spans="1:9">
      <c r="A291" s="208">
        <f>工程量计算稿!A310</f>
        <v>4</v>
      </c>
      <c r="B291" s="209" t="str">
        <f>工程量计算稿!B310</f>
        <v>页岩砖</v>
      </c>
      <c r="C291" s="210" t="str">
        <f>工程量计算稿!C310</f>
        <v>千匹</v>
      </c>
      <c r="D291" s="211"/>
      <c r="E291" s="212">
        <f>结算审核明细表!I292</f>
        <v>6.56</v>
      </c>
      <c r="F291" s="213">
        <f ca="1">工程量计算稿!E310</f>
        <v>0.32655168</v>
      </c>
      <c r="G291" s="214">
        <f ca="1">F291-D291</f>
        <v>0.32655168</v>
      </c>
      <c r="H291" s="214">
        <f ca="1">F291-E291</f>
        <v>-6.23344832</v>
      </c>
      <c r="I291" s="230"/>
    </row>
    <row r="292" ht="16.5" customHeight="1" spans="1:9">
      <c r="A292" s="208">
        <f>工程量计算稿!A311</f>
        <v>5</v>
      </c>
      <c r="B292" s="209" t="str">
        <f>工程量计算稿!B311</f>
        <v>钢筋</v>
      </c>
      <c r="C292" s="210" t="str">
        <f>工程量计算稿!C311</f>
        <v>t</v>
      </c>
      <c r="D292" s="211"/>
      <c r="E292" s="212">
        <f>结算审核明细表!I293</f>
        <v>0.77</v>
      </c>
      <c r="F292" s="213">
        <f ca="1">工程量计算稿!E311</f>
        <v>0.52178289</v>
      </c>
      <c r="G292" s="214">
        <f ca="1">F292-D292</f>
        <v>0.52178289</v>
      </c>
      <c r="H292" s="214">
        <f ca="1">F292-E292</f>
        <v>-0.24821711</v>
      </c>
      <c r="I292" s="230"/>
    </row>
    <row r="293" ht="16.5" customHeight="1" spans="1:9">
      <c r="A293" s="189" t="str">
        <f>工程量计算稿!A312</f>
        <v>六</v>
      </c>
      <c r="B293" s="195" t="str">
        <f>工程量计算稿!B312</f>
        <v>陈家河陈文如处供水工程</v>
      </c>
      <c r="C293" s="196" t="str">
        <f>工程量计算稿!C312</f>
        <v/>
      </c>
      <c r="D293" s="197"/>
      <c r="E293" s="198"/>
      <c r="F293" s="199"/>
      <c r="G293" s="200"/>
      <c r="H293" s="200"/>
      <c r="I293" s="248" t="s">
        <v>88</v>
      </c>
    </row>
    <row r="294" ht="16.5" customHeight="1" spans="1:9">
      <c r="A294" s="201" t="str">
        <f>工程量计算稿!A313</f>
        <v>（一）</v>
      </c>
      <c r="B294" s="202" t="str">
        <f>工程量计算稿!B313</f>
        <v>集水池工程</v>
      </c>
      <c r="C294" s="203" t="str">
        <f>工程量计算稿!C313</f>
        <v>个</v>
      </c>
      <c r="D294" s="204"/>
      <c r="E294" s="205"/>
      <c r="F294" s="206"/>
      <c r="G294" s="207"/>
      <c r="H294" s="207"/>
      <c r="I294" s="229"/>
    </row>
    <row r="295" ht="16.5" customHeight="1" spans="1:10">
      <c r="A295" s="208">
        <f>工程量计算稿!A314</f>
        <v>1</v>
      </c>
      <c r="B295" s="209" t="str">
        <f>工程量计算稿!B314</f>
        <v>土方开挖</v>
      </c>
      <c r="C295" s="210" t="str">
        <f>工程量计算稿!C314</f>
        <v>m3</v>
      </c>
      <c r="D295" s="211"/>
      <c r="E295" s="212">
        <f>结算审核明细表!I296</f>
        <v>9.41</v>
      </c>
      <c r="F295" s="213">
        <f ca="1">工程量计算稿!E314</f>
        <v>9.408</v>
      </c>
      <c r="G295" s="214">
        <f ca="1" t="shared" ref="G295:G301" si="41">F295-D295</f>
        <v>9.408</v>
      </c>
      <c r="H295" s="214">
        <f ca="1" t="shared" ref="H295:H301" si="42">F295-E295</f>
        <v>-0.00200000000000244</v>
      </c>
      <c r="I295" s="230"/>
      <c r="J295" s="231"/>
    </row>
    <row r="296" ht="16.5" customHeight="1" spans="1:10">
      <c r="A296" s="208">
        <f>工程量计算稿!A315</f>
        <v>2</v>
      </c>
      <c r="B296" s="209" t="str">
        <f>工程量计算稿!B315</f>
        <v>石方开挖</v>
      </c>
      <c r="C296" s="210" t="str">
        <f>工程量计算稿!C315</f>
        <v>m3</v>
      </c>
      <c r="D296" s="211"/>
      <c r="E296" s="212">
        <f>结算审核明细表!I297</f>
        <v>6.27</v>
      </c>
      <c r="F296" s="213">
        <f ca="1">工程量计算稿!E315</f>
        <v>6.272</v>
      </c>
      <c r="G296" s="214">
        <f ca="1" t="shared" si="41"/>
        <v>6.272</v>
      </c>
      <c r="H296" s="214">
        <f ca="1" t="shared" si="42"/>
        <v>0.00199999999999978</v>
      </c>
      <c r="I296" s="230"/>
      <c r="J296" s="231"/>
    </row>
    <row r="297" ht="16.5" customHeight="1" spans="1:10">
      <c r="A297" s="208">
        <f>工程量计算稿!A316</f>
        <v>3</v>
      </c>
      <c r="B297" s="209" t="str">
        <f>工程量计算稿!B316</f>
        <v>C25混凝土底板浇筑</v>
      </c>
      <c r="C297" s="210" t="str">
        <f>工程量计算稿!C316</f>
        <v>m3</v>
      </c>
      <c r="D297" s="211"/>
      <c r="E297" s="212">
        <f>结算审核明细表!I298</f>
        <v>1.46</v>
      </c>
      <c r="F297" s="213">
        <f ca="1">工程量计算稿!E316</f>
        <v>1.458</v>
      </c>
      <c r="G297" s="214">
        <f ca="1" t="shared" si="41"/>
        <v>1.458</v>
      </c>
      <c r="H297" s="214">
        <f ca="1" t="shared" si="42"/>
        <v>-0.00199999999999978</v>
      </c>
      <c r="I297" s="230"/>
      <c r="J297" s="231"/>
    </row>
    <row r="298" ht="16.5" customHeight="1" spans="1:10">
      <c r="A298" s="208">
        <f>工程量计算稿!A317</f>
        <v>4</v>
      </c>
      <c r="B298" s="209" t="str">
        <f>工程量计算稿!B317</f>
        <v>M7.5砖砌</v>
      </c>
      <c r="C298" s="210" t="str">
        <f>工程量计算稿!C317</f>
        <v>m3</v>
      </c>
      <c r="D298" s="211"/>
      <c r="E298" s="212">
        <f>结算审核明细表!I299</f>
        <v>3.84</v>
      </c>
      <c r="F298" s="213">
        <f ca="1">工程量计算稿!E317</f>
        <v>3.84</v>
      </c>
      <c r="G298" s="214">
        <f ca="1" t="shared" si="41"/>
        <v>3.84</v>
      </c>
      <c r="H298" s="214">
        <f ca="1" t="shared" si="42"/>
        <v>0</v>
      </c>
      <c r="I298" s="230"/>
      <c r="J298" s="231"/>
    </row>
    <row r="299" ht="16.5" customHeight="1" spans="1:10">
      <c r="A299" s="208">
        <f>工程量计算稿!A318</f>
        <v>5</v>
      </c>
      <c r="B299" s="209" t="str">
        <f>工程量计算稿!B318</f>
        <v>M10沙浆抹面</v>
      </c>
      <c r="C299" s="210" t="str">
        <f>工程量计算稿!C318</f>
        <v>m2</v>
      </c>
      <c r="D299" s="211"/>
      <c r="E299" s="212">
        <f>结算审核明细表!I300</f>
        <v>18.72</v>
      </c>
      <c r="F299" s="213">
        <f ca="1">工程量计算稿!E318</f>
        <v>18.72</v>
      </c>
      <c r="G299" s="214">
        <f ca="1" t="shared" si="41"/>
        <v>18.72</v>
      </c>
      <c r="H299" s="214">
        <f ca="1" t="shared" si="42"/>
        <v>0</v>
      </c>
      <c r="I299" s="230"/>
      <c r="J299" s="231"/>
    </row>
    <row r="300" ht="16.5" customHeight="1" spans="1:10">
      <c r="A300" s="208">
        <f>工程量计算稿!A319</f>
        <v>6</v>
      </c>
      <c r="B300" s="209" t="str">
        <f>工程量计算稿!B319</f>
        <v>木模制安</v>
      </c>
      <c r="C300" s="210" t="str">
        <f>工程量计算稿!C319</f>
        <v>m2</v>
      </c>
      <c r="D300" s="211"/>
      <c r="E300" s="212">
        <f>结算审核明细表!I301</f>
        <v>0</v>
      </c>
      <c r="F300" s="213">
        <f ca="1">工程量计算稿!E319</f>
        <v>0</v>
      </c>
      <c r="G300" s="214">
        <f ca="1" t="shared" si="41"/>
        <v>0</v>
      </c>
      <c r="H300" s="214">
        <f ca="1" t="shared" si="42"/>
        <v>0</v>
      </c>
      <c r="I300" s="230"/>
      <c r="J300" s="231"/>
    </row>
    <row r="301" ht="16.5" customHeight="1" spans="1:10">
      <c r="A301" s="208">
        <f>工程量计算稿!A320</f>
        <v>7</v>
      </c>
      <c r="B301" s="209" t="str">
        <f>工程量计算稿!B320</f>
        <v>钢筋制安</v>
      </c>
      <c r="C301" s="210" t="str">
        <f>工程量计算稿!C320</f>
        <v>kg</v>
      </c>
      <c r="D301" s="211"/>
      <c r="E301" s="218">
        <f>结算审核明细表!I302*1000</f>
        <v>40</v>
      </c>
      <c r="F301" s="213">
        <f ca="1">工程量计算稿!E320</f>
        <v>37.8252</v>
      </c>
      <c r="G301" s="214">
        <f ca="1" t="shared" si="41"/>
        <v>37.8252</v>
      </c>
      <c r="H301" s="214">
        <f ca="1" t="shared" si="42"/>
        <v>-2.1748</v>
      </c>
      <c r="I301" s="230"/>
      <c r="J301" s="231"/>
    </row>
    <row r="302" ht="16.5" customHeight="1" spans="1:9">
      <c r="A302" s="201" t="str">
        <f>工程量计算稿!A321</f>
        <v>（二）</v>
      </c>
      <c r="B302" s="202" t="str">
        <f>工程量计算稿!B321</f>
        <v>排污、供水管工程</v>
      </c>
      <c r="C302" s="203" t="str">
        <f>工程量计算稿!C321</f>
        <v/>
      </c>
      <c r="D302" s="204"/>
      <c r="E302" s="205"/>
      <c r="F302" s="206"/>
      <c r="G302" s="207"/>
      <c r="H302" s="207"/>
      <c r="I302" s="229"/>
    </row>
    <row r="303" ht="16.5" customHeight="1" spans="1:10">
      <c r="A303" s="208">
        <f>工程量计算稿!A322</f>
        <v>1</v>
      </c>
      <c r="B303" s="209" t="str">
        <f>工程量计算稿!B322</f>
        <v>土方开挖</v>
      </c>
      <c r="C303" s="210" t="str">
        <f>工程量计算稿!C322</f>
        <v>m3</v>
      </c>
      <c r="D303" s="211"/>
      <c r="E303" s="212">
        <f>结算审核明细表!I304</f>
        <v>4.68</v>
      </c>
      <c r="F303" s="213">
        <f ca="1">工程量计算稿!E322</f>
        <v>4.68</v>
      </c>
      <c r="G303" s="214">
        <f ca="1">F303-D303</f>
        <v>4.68</v>
      </c>
      <c r="H303" s="214">
        <f ca="1">F303-E303</f>
        <v>0</v>
      </c>
      <c r="I303" s="230"/>
      <c r="J303" s="231"/>
    </row>
    <row r="304" ht="16.5" customHeight="1" spans="1:10">
      <c r="A304" s="208">
        <f>工程量计算稿!A323</f>
        <v>2</v>
      </c>
      <c r="B304" s="209" t="str">
        <f>工程量计算稿!B323</f>
        <v>石方开挖</v>
      </c>
      <c r="C304" s="210" t="str">
        <f>工程量计算稿!C323</f>
        <v>m3</v>
      </c>
      <c r="D304" s="211"/>
      <c r="E304" s="212">
        <f>结算审核明细表!I305</f>
        <v>3.12</v>
      </c>
      <c r="F304" s="213">
        <f ca="1">工程量计算稿!E323</f>
        <v>3.12</v>
      </c>
      <c r="G304" s="214">
        <f ca="1">F304-D304</f>
        <v>3.12</v>
      </c>
      <c r="H304" s="214">
        <f ca="1">F304-E304</f>
        <v>0</v>
      </c>
      <c r="I304" s="230"/>
      <c r="J304" s="231"/>
    </row>
    <row r="305" ht="16.5" customHeight="1" spans="1:10">
      <c r="A305" s="208">
        <f>工程量计算稿!A324</f>
        <v>3</v>
      </c>
      <c r="B305" s="209" t="str">
        <f>工程量计算稿!B324</f>
        <v>C20砼 截留环（2个）</v>
      </c>
      <c r="C305" s="210" t="str">
        <f>工程量计算稿!C324</f>
        <v>m3</v>
      </c>
      <c r="D305" s="211"/>
      <c r="E305" s="212">
        <f>结算审核明细表!I306</f>
        <v>0.77</v>
      </c>
      <c r="F305" s="213">
        <f ca="1">工程量计算稿!E324</f>
        <v>0.768</v>
      </c>
      <c r="G305" s="214">
        <f ca="1">F305-D305</f>
        <v>0.768</v>
      </c>
      <c r="H305" s="214">
        <f ca="1">F305-E305</f>
        <v>-0.00199999999999989</v>
      </c>
      <c r="I305" s="230"/>
      <c r="J305" s="231"/>
    </row>
    <row r="306" ht="16.5" customHeight="1" spans="1:10">
      <c r="A306" s="208">
        <f>工程量计算稿!A325</f>
        <v>4</v>
      </c>
      <c r="B306" s="209" t="str">
        <f>工程量计算稿!B325</f>
        <v>土石方回填</v>
      </c>
      <c r="C306" s="210" t="str">
        <f>工程量计算稿!C325</f>
        <v>m3</v>
      </c>
      <c r="D306" s="211"/>
      <c r="E306" s="212">
        <f>结算审核明细表!I307</f>
        <v>7.8</v>
      </c>
      <c r="F306" s="213">
        <f ca="1">工程量计算稿!E325</f>
        <v>7.8</v>
      </c>
      <c r="G306" s="214">
        <f ca="1">F306-D306</f>
        <v>7.8</v>
      </c>
      <c r="H306" s="214">
        <f ca="1">F306-E306</f>
        <v>0</v>
      </c>
      <c r="I306" s="230"/>
      <c r="J306" s="231"/>
    </row>
    <row r="307" ht="16.5" customHeight="1" spans="1:9">
      <c r="A307" s="249" t="str">
        <f>工程量计算稿!A326</f>
        <v>七</v>
      </c>
      <c r="B307" s="250" t="str">
        <f>工程量计算稿!B326</f>
        <v>其他工程</v>
      </c>
      <c r="C307" s="251" t="str">
        <f>工程量计算稿!C326</f>
        <v/>
      </c>
      <c r="D307" s="252"/>
      <c r="E307" s="253"/>
      <c r="F307" s="254"/>
      <c r="G307" s="255"/>
      <c r="H307" s="255"/>
      <c r="I307" s="257"/>
    </row>
    <row r="308" ht="16.5" customHeight="1" spans="1:9">
      <c r="A308" s="208">
        <f>工程量计算稿!A327</f>
        <v>1</v>
      </c>
      <c r="B308" s="209" t="str">
        <f>工程量计算稿!B327</f>
        <v>南江-柑树坪村PE管运输</v>
      </c>
      <c r="C308" s="210" t="str">
        <f>工程量计算稿!C327</f>
        <v>车</v>
      </c>
      <c r="D308" s="211">
        <f>结算审核明细表!D309</f>
        <v>0</v>
      </c>
      <c r="E308" s="212">
        <f>结算审核明细表!I309</f>
        <v>7</v>
      </c>
      <c r="F308" s="213">
        <f ca="1">工程量计算稿!E327</f>
        <v>0</v>
      </c>
      <c r="G308" s="214">
        <f ca="1">F308-D308</f>
        <v>0</v>
      </c>
      <c r="H308" s="214">
        <f ca="1">F308-E308</f>
        <v>-7</v>
      </c>
      <c r="I308" s="234"/>
    </row>
    <row r="309" s="164" customFormat="1" ht="16.5" customHeight="1" spans="1:12">
      <c r="A309" s="208">
        <f>工程量计算稿!A328</f>
        <v>2</v>
      </c>
      <c r="B309" s="209" t="str">
        <f>工程量计算稿!B328</f>
        <v>PE管上、下车费</v>
      </c>
      <c r="C309" s="210" t="str">
        <f>工程量计算稿!C328</f>
        <v>件</v>
      </c>
      <c r="D309" s="211">
        <f>结算审核明细表!D310</f>
        <v>0</v>
      </c>
      <c r="E309" s="212">
        <f>结算审核明细表!I310</f>
        <v>322</v>
      </c>
      <c r="F309" s="213">
        <f ca="1">工程量计算稿!E328</f>
        <v>0</v>
      </c>
      <c r="G309" s="214">
        <f ca="1">F309-D309</f>
        <v>0</v>
      </c>
      <c r="H309" s="214">
        <f ca="1">F309-E309</f>
        <v>-322</v>
      </c>
      <c r="I309" s="234"/>
      <c r="J309" s="172"/>
      <c r="K309" s="173"/>
      <c r="L309" s="173"/>
    </row>
    <row r="310" ht="16.5" customHeight="1" spans="1:9">
      <c r="A310" s="241">
        <f>工程量计算稿!A329</f>
        <v>3</v>
      </c>
      <c r="B310" s="242" t="str">
        <f>工程量计算稿!B329</f>
        <v>dn80mm钢管人力二次运输</v>
      </c>
      <c r="C310" s="243" t="str">
        <f>工程量计算稿!C329</f>
        <v>m</v>
      </c>
      <c r="D310" s="244">
        <f>结算审核明细表!D311</f>
        <v>0</v>
      </c>
      <c r="E310" s="245">
        <f>结算审核明细表!I311</f>
        <v>5088</v>
      </c>
      <c r="F310" s="246">
        <f ca="1">工程量计算稿!E329</f>
        <v>0</v>
      </c>
      <c r="G310" s="247">
        <f ca="1">F310-D310</f>
        <v>0</v>
      </c>
      <c r="H310" s="214">
        <f ca="1">F310-E310</f>
        <v>-5088</v>
      </c>
      <c r="I310" s="230"/>
    </row>
    <row r="311" ht="16.5" customHeight="1" spans="1:9">
      <c r="A311" s="241">
        <f>工程量计算稿!A330</f>
        <v>4</v>
      </c>
      <c r="B311" s="242" t="str">
        <f>工程量计算稿!B330</f>
        <v>dn40mm钢管人力二次运输</v>
      </c>
      <c r="C311" s="243" t="str">
        <f>工程量计算稿!C330</f>
        <v>m</v>
      </c>
      <c r="D311" s="244">
        <f>结算审核明细表!D312</f>
        <v>0</v>
      </c>
      <c r="E311" s="245">
        <f>结算审核明细表!I312</f>
        <v>4002</v>
      </c>
      <c r="F311" s="246">
        <f ca="1">工程量计算稿!E330</f>
        <v>0</v>
      </c>
      <c r="G311" s="247">
        <f ca="1">F311-D311</f>
        <v>0</v>
      </c>
      <c r="H311" s="214">
        <f ca="1">F311-E311</f>
        <v>-4002</v>
      </c>
      <c r="I311" s="230"/>
    </row>
    <row r="312" ht="16.5" customHeight="1" spans="1:9">
      <c r="A312" s="189" t="str">
        <f>工程量计算稿!A331</f>
        <v> </v>
      </c>
      <c r="B312" s="196" t="str">
        <f>工程量计算稿!B331</f>
        <v>第二部分  金属结构设备及安装工程</v>
      </c>
      <c r="C312" s="196" t="str">
        <f>工程量计算稿!C331</f>
        <v/>
      </c>
      <c r="D312" s="197"/>
      <c r="E312" s="198"/>
      <c r="F312" s="199"/>
      <c r="G312" s="200"/>
      <c r="H312" s="200"/>
      <c r="I312" s="228"/>
    </row>
    <row r="313" ht="16.5" customHeight="1" spans="1:9">
      <c r="A313" s="189" t="str">
        <f>工程量计算稿!A332</f>
        <v>一</v>
      </c>
      <c r="B313" s="195" t="str">
        <f>工程量计算稿!B332</f>
        <v>管道安装费</v>
      </c>
      <c r="C313" s="196" t="str">
        <f>工程量计算稿!C332</f>
        <v/>
      </c>
      <c r="D313" s="197"/>
      <c r="E313" s="198"/>
      <c r="F313" s="199"/>
      <c r="G313" s="200"/>
      <c r="H313" s="200"/>
      <c r="I313" s="228"/>
    </row>
    <row r="314" ht="16.5" customHeight="1" spans="1:9">
      <c r="A314" s="208">
        <f>工程量计算稿!A333</f>
        <v>1</v>
      </c>
      <c r="B314" s="209" t="str">
        <f>工程量计算稿!B333</f>
        <v>dn100热镀钢管</v>
      </c>
      <c r="C314" s="210" t="str">
        <f>工程量计算稿!C333</f>
        <v>m</v>
      </c>
      <c r="D314" s="211">
        <f>结算审核明细表!D315</f>
        <v>8000</v>
      </c>
      <c r="E314" s="212">
        <f>结算审核明细表!I315</f>
        <v>0</v>
      </c>
      <c r="F314" s="213">
        <f ca="1">工程量计算稿!E333</f>
        <v>0</v>
      </c>
      <c r="G314" s="214">
        <f ca="1" t="shared" ref="G314:G327" si="43">F314-D314</f>
        <v>-8000</v>
      </c>
      <c r="H314" s="214">
        <f ca="1" t="shared" ref="H314:H327" si="44">F314-E314</f>
        <v>0</v>
      </c>
      <c r="I314" s="230"/>
    </row>
    <row r="315" ht="16.5" customHeight="1" spans="1:9">
      <c r="A315" s="208">
        <f>工程量计算稿!A334</f>
        <v>2</v>
      </c>
      <c r="B315" s="209" t="str">
        <f>工程量计算稿!B334</f>
        <v>dn63mmPE管安装（供水主管）</v>
      </c>
      <c r="C315" s="210" t="str">
        <f>工程量计算稿!C334</f>
        <v>m</v>
      </c>
      <c r="D315" s="211">
        <f>结算审核明细表!D316</f>
        <v>3400</v>
      </c>
      <c r="E315" s="212">
        <f>结算审核明细表!I316</f>
        <v>2500</v>
      </c>
      <c r="F315" s="213">
        <f ca="1">工程量计算稿!E334</f>
        <v>2500</v>
      </c>
      <c r="G315" s="214">
        <f ca="1" t="shared" si="43"/>
        <v>-900</v>
      </c>
      <c r="H315" s="214">
        <f ca="1" t="shared" si="44"/>
        <v>0</v>
      </c>
      <c r="I315" s="230"/>
    </row>
    <row r="316" ht="16.5" customHeight="1" spans="1:9">
      <c r="A316" s="208">
        <f>工程量计算稿!A335</f>
        <v>3</v>
      </c>
      <c r="B316" s="209" t="str">
        <f>工程量计算稿!B335</f>
        <v>dn50mmPE管安装（供水主管）</v>
      </c>
      <c r="C316" s="210" t="str">
        <f>工程量计算稿!C335</f>
        <v>m</v>
      </c>
      <c r="D316" s="211">
        <f>结算审核明细表!D317</f>
        <v>7000</v>
      </c>
      <c r="E316" s="212">
        <f>结算审核明细表!I317</f>
        <v>3800</v>
      </c>
      <c r="F316" s="213">
        <f ca="1">工程量计算稿!E335</f>
        <v>3800</v>
      </c>
      <c r="G316" s="214">
        <f ca="1" t="shared" si="43"/>
        <v>-3200</v>
      </c>
      <c r="H316" s="214">
        <f ca="1" t="shared" si="44"/>
        <v>0</v>
      </c>
      <c r="I316" s="230"/>
    </row>
    <row r="317" ht="16.5" customHeight="1" spans="1:9">
      <c r="A317" s="208">
        <f>工程量计算稿!A336</f>
        <v>4</v>
      </c>
      <c r="B317" s="209" t="str">
        <f>工程量计算稿!B336</f>
        <v>dn40mmPE管安装（供水主管）</v>
      </c>
      <c r="C317" s="210" t="str">
        <f>工程量计算稿!C336</f>
        <v>m</v>
      </c>
      <c r="D317" s="211">
        <f>结算审核明细表!D318</f>
        <v>6800</v>
      </c>
      <c r="E317" s="212">
        <f>结算审核明细表!I318</f>
        <v>2000</v>
      </c>
      <c r="F317" s="213">
        <f ca="1">工程量计算稿!E336</f>
        <v>2000</v>
      </c>
      <c r="G317" s="214">
        <f ca="1" t="shared" si="43"/>
        <v>-4800</v>
      </c>
      <c r="H317" s="214">
        <f ca="1" t="shared" si="44"/>
        <v>0</v>
      </c>
      <c r="I317" s="230"/>
    </row>
    <row r="318" ht="16.5" customHeight="1" spans="1:9">
      <c r="A318" s="208">
        <f>工程量计算稿!A337</f>
        <v>5</v>
      </c>
      <c r="B318" s="209" t="str">
        <f>工程量计算稿!B337</f>
        <v>dn32mmPE管安装（供水主管）</v>
      </c>
      <c r="C318" s="210" t="str">
        <f>工程量计算稿!C337</f>
        <v>m</v>
      </c>
      <c r="D318" s="211">
        <f>结算审核明细表!D319</f>
        <v>16100</v>
      </c>
      <c r="E318" s="212">
        <f>结算审核明细表!I319</f>
        <v>12000</v>
      </c>
      <c r="F318" s="213">
        <f ca="1">工程量计算稿!E337</f>
        <v>12000</v>
      </c>
      <c r="G318" s="214">
        <f ca="1" t="shared" si="43"/>
        <v>-4100</v>
      </c>
      <c r="H318" s="214">
        <f ca="1" t="shared" si="44"/>
        <v>0</v>
      </c>
      <c r="I318" s="230"/>
    </row>
    <row r="319" ht="16.5" customHeight="1" spans="1:9">
      <c r="A319" s="208">
        <f>工程量计算稿!A338</f>
        <v>6</v>
      </c>
      <c r="B319" s="209" t="str">
        <f>工程量计算稿!B338</f>
        <v>dn25mmPE管安装（供水主管）</v>
      </c>
      <c r="C319" s="210" t="str">
        <f>工程量计算稿!C338</f>
        <v>m</v>
      </c>
      <c r="D319" s="211">
        <f>结算审核明细表!D320</f>
        <v>17700</v>
      </c>
      <c r="E319" s="212">
        <f>结算审核明细表!I320</f>
        <v>8800</v>
      </c>
      <c r="F319" s="213">
        <f ca="1">工程量计算稿!E338</f>
        <v>8800</v>
      </c>
      <c r="G319" s="214">
        <f ca="1" t="shared" si="43"/>
        <v>-8900</v>
      </c>
      <c r="H319" s="214">
        <f ca="1" t="shared" si="44"/>
        <v>0</v>
      </c>
      <c r="I319" s="230"/>
    </row>
    <row r="320" ht="16.5" customHeight="1" spans="1:9">
      <c r="A320" s="208">
        <f>工程量计算稿!A339</f>
        <v>7</v>
      </c>
      <c r="B320" s="209" t="str">
        <f>工程量计算稿!B339</f>
        <v>dn20mmPE管安装（下户管）</v>
      </c>
      <c r="C320" s="210" t="str">
        <f>工程量计算稿!C339</f>
        <v>m</v>
      </c>
      <c r="D320" s="211">
        <f>结算审核明细表!D321</f>
        <v>30400</v>
      </c>
      <c r="E320" s="212">
        <f>结算审核明细表!I321</f>
        <v>16900</v>
      </c>
      <c r="F320" s="213">
        <f ca="1">工程量计算稿!E339</f>
        <v>16900</v>
      </c>
      <c r="G320" s="214">
        <f ca="1" t="shared" si="43"/>
        <v>-13500</v>
      </c>
      <c r="H320" s="214">
        <f ca="1" t="shared" si="44"/>
        <v>0</v>
      </c>
      <c r="I320" s="230"/>
    </row>
    <row r="321" ht="16.5" customHeight="1" spans="1:9">
      <c r="A321" s="241" t="str">
        <f>工程量计算稿!A340</f>
        <v>新增</v>
      </c>
      <c r="B321" s="209" t="str">
        <f>工程量计算稿!B340</f>
        <v>dn80热镀钢管安装</v>
      </c>
      <c r="C321" s="210" t="str">
        <f>工程量计算稿!C340</f>
        <v>m</v>
      </c>
      <c r="D321" s="211">
        <f>结算审核明细表!D322</f>
        <v>0</v>
      </c>
      <c r="E321" s="212">
        <f>结算审核明细表!I322</f>
        <v>5088</v>
      </c>
      <c r="F321" s="213">
        <f ca="1">工程量计算稿!E340</f>
        <v>5088</v>
      </c>
      <c r="G321" s="214">
        <f ca="1" t="shared" si="43"/>
        <v>5088</v>
      </c>
      <c r="H321" s="214">
        <f ca="1" t="shared" si="44"/>
        <v>0</v>
      </c>
      <c r="I321" s="230"/>
    </row>
    <row r="322" ht="16.5" customHeight="1" spans="1:9">
      <c r="A322" s="241" t="str">
        <f>工程量计算稿!A341</f>
        <v>新增</v>
      </c>
      <c r="B322" s="209" t="str">
        <f>工程量计算稿!B341</f>
        <v>dn40热镀钢管安装</v>
      </c>
      <c r="C322" s="210" t="str">
        <f>工程量计算稿!C341</f>
        <v>m</v>
      </c>
      <c r="D322" s="211">
        <f>结算审核明细表!D323</f>
        <v>0</v>
      </c>
      <c r="E322" s="212">
        <f>结算审核明细表!I323</f>
        <v>4002</v>
      </c>
      <c r="F322" s="213">
        <f ca="1">工程量计算稿!E341</f>
        <v>4002</v>
      </c>
      <c r="G322" s="214">
        <f ca="1" t="shared" si="43"/>
        <v>4002</v>
      </c>
      <c r="H322" s="214">
        <f ca="1" t="shared" si="44"/>
        <v>0</v>
      </c>
      <c r="I322" s="230"/>
    </row>
    <row r="323" ht="16.5" customHeight="1" spans="1:9">
      <c r="A323" s="208" t="str">
        <f>工程量计算稿!A342</f>
        <v>新增</v>
      </c>
      <c r="B323" s="209" t="str">
        <f>工程量计算稿!B342</f>
        <v>dn80mm闸阀购、运、安</v>
      </c>
      <c r="C323" s="210" t="str">
        <f>工程量计算稿!C342</f>
        <v>套</v>
      </c>
      <c r="D323" s="211">
        <f>结算审核明细表!D324</f>
        <v>0</v>
      </c>
      <c r="E323" s="212">
        <f>结算审核明细表!I324</f>
        <v>4</v>
      </c>
      <c r="F323" s="213">
        <f ca="1">工程量计算稿!E342</f>
        <v>4</v>
      </c>
      <c r="G323" s="214">
        <f ca="1" t="shared" si="43"/>
        <v>4</v>
      </c>
      <c r="H323" s="214">
        <f ca="1" t="shared" si="44"/>
        <v>0</v>
      </c>
      <c r="I323" s="230"/>
    </row>
    <row r="324" ht="16.5" customHeight="1" spans="1:9">
      <c r="A324" s="208" t="str">
        <f>工程量计算稿!A343</f>
        <v>新增</v>
      </c>
      <c r="B324" s="209" t="str">
        <f>工程量计算稿!B343</f>
        <v>dn40mm闸阀购、运、安</v>
      </c>
      <c r="C324" s="210" t="str">
        <f>工程量计算稿!C343</f>
        <v>套</v>
      </c>
      <c r="D324" s="211">
        <f>结算审核明细表!D325</f>
        <v>0</v>
      </c>
      <c r="E324" s="212">
        <f>结算审核明细表!I325</f>
        <v>2</v>
      </c>
      <c r="F324" s="213">
        <f ca="1">工程量计算稿!E343</f>
        <v>2</v>
      </c>
      <c r="G324" s="214">
        <f ca="1" t="shared" si="43"/>
        <v>2</v>
      </c>
      <c r="H324" s="214">
        <f ca="1" t="shared" si="44"/>
        <v>0</v>
      </c>
      <c r="I324" s="230"/>
    </row>
    <row r="325" ht="16.5" customHeight="1" spans="1:9">
      <c r="A325" s="208" t="str">
        <f>工程量计算稿!A344</f>
        <v>新增</v>
      </c>
      <c r="B325" s="209" t="str">
        <f>工程量计算稿!B344</f>
        <v>dn40mm减压阀购、运、安</v>
      </c>
      <c r="C325" s="210" t="str">
        <f>工程量计算稿!C344</f>
        <v>套</v>
      </c>
      <c r="D325" s="211">
        <f>结算审核明细表!D326</f>
        <v>0</v>
      </c>
      <c r="E325" s="212">
        <f>结算审核明细表!I326</f>
        <v>4</v>
      </c>
      <c r="F325" s="213">
        <f ca="1">工程量计算稿!E344</f>
        <v>4</v>
      </c>
      <c r="G325" s="214">
        <f ca="1" t="shared" si="43"/>
        <v>4</v>
      </c>
      <c r="H325" s="214">
        <f ca="1" t="shared" si="44"/>
        <v>0</v>
      </c>
      <c r="I325" s="230"/>
    </row>
    <row r="326" ht="16.5" customHeight="1" spans="1:9">
      <c r="A326" s="208" t="str">
        <f>工程量计算稿!A345</f>
        <v>新增</v>
      </c>
      <c r="B326" s="209" t="str">
        <f>工程量计算稿!B345</f>
        <v>dn25mm减压阀购、运、安</v>
      </c>
      <c r="C326" s="210" t="str">
        <f>工程量计算稿!C345</f>
        <v>套</v>
      </c>
      <c r="D326" s="211">
        <f>结算审核明细表!D327</f>
        <v>0</v>
      </c>
      <c r="E326" s="212">
        <f>结算审核明细表!I327</f>
        <v>8</v>
      </c>
      <c r="F326" s="213">
        <f ca="1">工程量计算稿!E345</f>
        <v>8</v>
      </c>
      <c r="G326" s="214">
        <f ca="1" t="shared" si="43"/>
        <v>8</v>
      </c>
      <c r="H326" s="214">
        <f ca="1" t="shared" si="44"/>
        <v>0</v>
      </c>
      <c r="I326" s="230"/>
    </row>
    <row r="327" ht="16.5" customHeight="1" spans="1:9">
      <c r="A327" s="208" t="str">
        <f>工程量计算稿!A346</f>
        <v>新增</v>
      </c>
      <c r="B327" s="209" t="str">
        <f>工程量计算稿!B346</f>
        <v>dn25mm减压阀购、运、安</v>
      </c>
      <c r="C327" s="210" t="str">
        <f>工程量计算稿!C346</f>
        <v>套</v>
      </c>
      <c r="D327" s="211">
        <f>结算审核明细表!D328</f>
        <v>0</v>
      </c>
      <c r="E327" s="212">
        <f>结算审核明细表!I328</f>
        <v>10</v>
      </c>
      <c r="F327" s="213">
        <f ca="1">工程量计算稿!E346</f>
        <v>10</v>
      </c>
      <c r="G327" s="214">
        <f ca="1" t="shared" si="43"/>
        <v>10</v>
      </c>
      <c r="H327" s="214">
        <f ca="1" t="shared" si="44"/>
        <v>0</v>
      </c>
      <c r="I327" s="230"/>
    </row>
    <row r="328" s="164" customFormat="1" ht="16.5" customHeight="1" spans="1:12">
      <c r="A328" s="189" t="str">
        <f>工程量计算稿!A347</f>
        <v>二</v>
      </c>
      <c r="B328" s="195" t="str">
        <f>工程量计算稿!B347</f>
        <v>供水工程</v>
      </c>
      <c r="C328" s="196" t="str">
        <f>工程量计算稿!C347</f>
        <v/>
      </c>
      <c r="D328" s="197"/>
      <c r="E328" s="198"/>
      <c r="F328" s="199"/>
      <c r="G328" s="200"/>
      <c r="H328" s="200"/>
      <c r="I328" s="228"/>
      <c r="J328" s="172"/>
      <c r="K328" s="173"/>
      <c r="L328" s="173"/>
    </row>
    <row r="329" s="164" customFormat="1" ht="16.5" customHeight="1" spans="1:12">
      <c r="A329" s="201" t="str">
        <f>工程量计算稿!A348</f>
        <v>(一)</v>
      </c>
      <c r="B329" s="202" t="str">
        <f>工程量计算稿!B348</f>
        <v>张家湾供水工程</v>
      </c>
      <c r="C329" s="203" t="str">
        <f>工程量计算稿!C348</f>
        <v/>
      </c>
      <c r="D329" s="204"/>
      <c r="E329" s="205"/>
      <c r="F329" s="206"/>
      <c r="G329" s="207"/>
      <c r="H329" s="207"/>
      <c r="I329" s="229"/>
      <c r="J329" s="172"/>
      <c r="K329" s="173"/>
      <c r="L329" s="173"/>
    </row>
    <row r="330" ht="16.5" customHeight="1" spans="1:9">
      <c r="A330" s="208">
        <f>工程量计算稿!A349</f>
        <v>1</v>
      </c>
      <c r="B330" s="209" t="str">
        <f>工程量计算稿!B349</f>
        <v>dn90mmPE管购、运、安</v>
      </c>
      <c r="C330" s="210" t="str">
        <f>工程量计算稿!C349</f>
        <v>m</v>
      </c>
      <c r="D330" s="211">
        <f>结算审核明细表!D331</f>
        <v>0</v>
      </c>
      <c r="E330" s="212">
        <f>结算审核明细表!I331</f>
        <v>3</v>
      </c>
      <c r="F330" s="213">
        <f ca="1">工程量计算稿!E349</f>
        <v>3</v>
      </c>
      <c r="G330" s="214">
        <f ca="1" t="shared" ref="G328:G365" si="45">F330-D330</f>
        <v>3</v>
      </c>
      <c r="H330" s="214">
        <f ca="1" t="shared" ref="H328:H365" si="46">F330-E330</f>
        <v>0</v>
      </c>
      <c r="I330" s="230"/>
    </row>
    <row r="331" ht="16.5" customHeight="1" spans="1:9">
      <c r="A331" s="208">
        <f>工程量计算稿!A350</f>
        <v>2</v>
      </c>
      <c r="B331" s="209" t="str">
        <f>工程量计算稿!B350</f>
        <v>dn80mm闸阀购、运、安</v>
      </c>
      <c r="C331" s="210" t="str">
        <f>工程量计算稿!C350</f>
        <v>个</v>
      </c>
      <c r="D331" s="211">
        <f>结算审核明细表!D332</f>
        <v>0</v>
      </c>
      <c r="E331" s="212">
        <f>结算审核明细表!I332</f>
        <v>1</v>
      </c>
      <c r="F331" s="213">
        <f ca="1">工程量计算稿!E350</f>
        <v>1</v>
      </c>
      <c r="G331" s="214">
        <f ca="1" t="shared" si="45"/>
        <v>1</v>
      </c>
      <c r="H331" s="214">
        <f ca="1" t="shared" si="46"/>
        <v>0</v>
      </c>
      <c r="I331" s="230"/>
    </row>
    <row r="332" ht="16.5" customHeight="1" spans="1:9">
      <c r="A332" s="208">
        <f>工程量计算稿!A351</f>
        <v>3</v>
      </c>
      <c r="B332" s="209" t="str">
        <f>工程量计算稿!B351</f>
        <v>dn63mmPE管购、运、安</v>
      </c>
      <c r="C332" s="210" t="str">
        <f>工程量计算稿!C351</f>
        <v>m</v>
      </c>
      <c r="D332" s="211">
        <f>结算审核明细表!D333</f>
        <v>0</v>
      </c>
      <c r="E332" s="212">
        <f>结算审核明细表!I333</f>
        <v>3</v>
      </c>
      <c r="F332" s="213">
        <f ca="1">工程量计算稿!E351</f>
        <v>3</v>
      </c>
      <c r="G332" s="214">
        <f ca="1" t="shared" si="45"/>
        <v>3</v>
      </c>
      <c r="H332" s="214">
        <f ca="1" t="shared" si="46"/>
        <v>0</v>
      </c>
      <c r="I332" s="230"/>
    </row>
    <row r="333" ht="16.5" customHeight="1" spans="1:9">
      <c r="A333" s="208">
        <f>工程量计算稿!A352</f>
        <v>4</v>
      </c>
      <c r="B333" s="209" t="str">
        <f>工程量计算稿!B352</f>
        <v>dn63mm闸阀购、运、安</v>
      </c>
      <c r="C333" s="210" t="str">
        <f>工程量计算稿!C352</f>
        <v>个</v>
      </c>
      <c r="D333" s="211">
        <f>结算审核明细表!D334</f>
        <v>0</v>
      </c>
      <c r="E333" s="212">
        <f>结算审核明细表!I334</f>
        <v>1</v>
      </c>
      <c r="F333" s="213">
        <f ca="1">工程量计算稿!E352</f>
        <v>1</v>
      </c>
      <c r="G333" s="214">
        <f ca="1" t="shared" si="45"/>
        <v>1</v>
      </c>
      <c r="H333" s="214">
        <f ca="1" t="shared" si="46"/>
        <v>0</v>
      </c>
      <c r="I333" s="230"/>
    </row>
    <row r="334" ht="16.5" customHeight="1" spans="1:10">
      <c r="A334" s="208">
        <f>工程量计算稿!A353</f>
        <v>5</v>
      </c>
      <c r="B334" s="209" t="str">
        <f>工程量计算稿!B353</f>
        <v>杀毒器购、运、安</v>
      </c>
      <c r="C334" s="210" t="str">
        <f>工程量计算稿!C353</f>
        <v>个</v>
      </c>
      <c r="D334" s="211">
        <f>结算审核明细表!D335</f>
        <v>0</v>
      </c>
      <c r="E334" s="212">
        <f>结算审核明细表!I335</f>
        <v>1</v>
      </c>
      <c r="F334" s="213">
        <f ca="1">工程量计算稿!E353</f>
        <v>0</v>
      </c>
      <c r="G334" s="214">
        <f ca="1" t="shared" si="45"/>
        <v>0</v>
      </c>
      <c r="H334" s="214">
        <f ca="1" t="shared" si="46"/>
        <v>-1</v>
      </c>
      <c r="I334" s="230"/>
      <c r="J334" s="231"/>
    </row>
    <row r="335" ht="16.5" customHeight="1" spans="1:10">
      <c r="A335" s="208">
        <f>工程量计算稿!A354</f>
        <v>6</v>
      </c>
      <c r="B335" s="209" t="str">
        <f>工程量计算稿!B354</f>
        <v>220V低压供电线路</v>
      </c>
      <c r="C335" s="210" t="str">
        <f>工程量计算稿!C354</f>
        <v>km</v>
      </c>
      <c r="D335" s="211">
        <f>结算审核明细表!D336</f>
        <v>0</v>
      </c>
      <c r="E335" s="212">
        <f>结算审核明细表!I336</f>
        <v>0.15</v>
      </c>
      <c r="F335" s="213">
        <f ca="1">工程量计算稿!E354</f>
        <v>0</v>
      </c>
      <c r="G335" s="214">
        <f ca="1" t="shared" si="45"/>
        <v>0</v>
      </c>
      <c r="H335" s="214">
        <f ca="1" t="shared" si="46"/>
        <v>-0.15</v>
      </c>
      <c r="I335" s="230"/>
      <c r="J335" s="231"/>
    </row>
    <row r="336" s="164" customFormat="1" ht="16.5" customHeight="1" spans="1:12">
      <c r="A336" s="208">
        <f>工程量计算稿!A355</f>
        <v>7</v>
      </c>
      <c r="B336" s="209" t="str">
        <f>工程量计算稿!B355</f>
        <v>浮球阀</v>
      </c>
      <c r="C336" s="210" t="str">
        <f>工程量计算稿!C355</f>
        <v>个</v>
      </c>
      <c r="D336" s="211">
        <f>结算审核明细表!D337</f>
        <v>0</v>
      </c>
      <c r="E336" s="212">
        <f>结算审核明细表!I337</f>
        <v>1</v>
      </c>
      <c r="F336" s="213">
        <f ca="1">工程量计算稿!E355</f>
        <v>1</v>
      </c>
      <c r="G336" s="214">
        <f ca="1" t="shared" si="45"/>
        <v>1</v>
      </c>
      <c r="H336" s="214">
        <f ca="1" t="shared" si="46"/>
        <v>0</v>
      </c>
      <c r="I336" s="230"/>
      <c r="J336" s="172"/>
      <c r="K336" s="173"/>
      <c r="L336" s="173"/>
    </row>
    <row r="337" ht="16.5" customHeight="1" spans="1:10">
      <c r="A337" s="208">
        <f>工程量计算稿!A356</f>
        <v>8</v>
      </c>
      <c r="B337" s="209" t="str">
        <f>工程量计算稿!B356</f>
        <v>一体化净化器购、运、安</v>
      </c>
      <c r="C337" s="210" t="str">
        <f>工程量计算稿!C356</f>
        <v>个</v>
      </c>
      <c r="D337" s="211">
        <f>结算审核明细表!D338</f>
        <v>0</v>
      </c>
      <c r="E337" s="212">
        <f>结算审核明细表!I338</f>
        <v>1</v>
      </c>
      <c r="F337" s="213">
        <f ca="1">工程量计算稿!E356</f>
        <v>0</v>
      </c>
      <c r="G337" s="214">
        <f ca="1" t="shared" si="45"/>
        <v>0</v>
      </c>
      <c r="H337" s="214">
        <f ca="1" t="shared" si="46"/>
        <v>-1</v>
      </c>
      <c r="I337" s="230"/>
      <c r="J337" s="231"/>
    </row>
    <row r="338" ht="16.5" customHeight="1" spans="1:9">
      <c r="A338" s="201" t="str">
        <f>工程量计算稿!A357</f>
        <v>(二)</v>
      </c>
      <c r="B338" s="202" t="str">
        <f>工程量计算稿!B357</f>
        <v>长湾供水工程</v>
      </c>
      <c r="C338" s="203" t="str">
        <f>工程量计算稿!C357</f>
        <v/>
      </c>
      <c r="D338" s="204"/>
      <c r="E338" s="205"/>
      <c r="F338" s="206"/>
      <c r="G338" s="207"/>
      <c r="H338" s="207"/>
      <c r="I338" s="229"/>
    </row>
    <row r="339" ht="16.5" customHeight="1" spans="1:9">
      <c r="A339" s="208">
        <f>工程量计算稿!A358</f>
        <v>1</v>
      </c>
      <c r="B339" s="209" t="str">
        <f>工程量计算稿!B358</f>
        <v>dn90mmPE管购、运、安</v>
      </c>
      <c r="C339" s="210" t="str">
        <f>工程量计算稿!C358</f>
        <v>m</v>
      </c>
      <c r="D339" s="211">
        <f>结算审核明细表!D340</f>
        <v>0</v>
      </c>
      <c r="E339" s="212">
        <f>结算审核明细表!I340</f>
        <v>3</v>
      </c>
      <c r="F339" s="213">
        <f ca="1">工程量计算稿!E358</f>
        <v>3</v>
      </c>
      <c r="G339" s="214">
        <f ca="1" t="shared" si="45"/>
        <v>3</v>
      </c>
      <c r="H339" s="214">
        <f ca="1" t="shared" si="46"/>
        <v>0</v>
      </c>
      <c r="I339" s="230"/>
    </row>
    <row r="340" ht="16.5" customHeight="1" spans="1:9">
      <c r="A340" s="208">
        <f>工程量计算稿!A359</f>
        <v>2</v>
      </c>
      <c r="B340" s="209" t="str">
        <f>工程量计算稿!B359</f>
        <v>dn80mm钢闸阀购、运、安</v>
      </c>
      <c r="C340" s="210" t="str">
        <f>工程量计算稿!C359</f>
        <v>个</v>
      </c>
      <c r="D340" s="211">
        <f>结算审核明细表!D341</f>
        <v>0</v>
      </c>
      <c r="E340" s="212">
        <f>结算审核明细表!I341</f>
        <v>1</v>
      </c>
      <c r="F340" s="213">
        <f ca="1">工程量计算稿!E359</f>
        <v>1</v>
      </c>
      <c r="G340" s="214">
        <f ca="1" t="shared" si="45"/>
        <v>1</v>
      </c>
      <c r="H340" s="214">
        <f ca="1" t="shared" si="46"/>
        <v>0</v>
      </c>
      <c r="I340" s="230"/>
    </row>
    <row r="341" s="164" customFormat="1" ht="16.5" customHeight="1" spans="1:12">
      <c r="A341" s="208">
        <f>工程量计算稿!A360</f>
        <v>3</v>
      </c>
      <c r="B341" s="209" t="str">
        <f>工程量计算稿!B360</f>
        <v>dn63mmPE管购、运、安</v>
      </c>
      <c r="C341" s="210" t="str">
        <f>工程量计算稿!C360</f>
        <v>m</v>
      </c>
      <c r="D341" s="211">
        <f>结算审核明细表!D342</f>
        <v>0</v>
      </c>
      <c r="E341" s="212">
        <f>结算审核明细表!I342</f>
        <v>2</v>
      </c>
      <c r="F341" s="213">
        <f ca="1">工程量计算稿!E360</f>
        <v>2</v>
      </c>
      <c r="G341" s="214">
        <f ca="1" t="shared" si="45"/>
        <v>2</v>
      </c>
      <c r="H341" s="214">
        <f ca="1" t="shared" si="46"/>
        <v>0</v>
      </c>
      <c r="I341" s="230"/>
      <c r="J341" s="172"/>
      <c r="K341" s="173"/>
      <c r="L341" s="173"/>
    </row>
    <row r="342" ht="16.5" customHeight="1" spans="1:9">
      <c r="A342" s="208">
        <f>工程量计算稿!A361</f>
        <v>4</v>
      </c>
      <c r="B342" s="209" t="str">
        <f>工程量计算稿!B361</f>
        <v>dn63mm闸阀购、运、安</v>
      </c>
      <c r="C342" s="210" t="str">
        <f>工程量计算稿!C361</f>
        <v>个</v>
      </c>
      <c r="D342" s="211">
        <f>结算审核明细表!D343</f>
        <v>0</v>
      </c>
      <c r="E342" s="212">
        <f>结算审核明细表!I343</f>
        <v>2</v>
      </c>
      <c r="F342" s="213">
        <f ca="1">工程量计算稿!E361</f>
        <v>2</v>
      </c>
      <c r="G342" s="214">
        <f ca="1" t="shared" si="45"/>
        <v>2</v>
      </c>
      <c r="H342" s="214">
        <f ca="1" t="shared" si="46"/>
        <v>0</v>
      </c>
      <c r="I342" s="230"/>
    </row>
    <row r="343" ht="16.5" customHeight="1" spans="1:10">
      <c r="A343" s="208">
        <f>工程量计算稿!A362</f>
        <v>5</v>
      </c>
      <c r="B343" s="209" t="str">
        <f>工程量计算稿!B362</f>
        <v>杀毒器购、运、安</v>
      </c>
      <c r="C343" s="210" t="str">
        <f>工程量计算稿!C362</f>
        <v>个</v>
      </c>
      <c r="D343" s="211">
        <f>结算审核明细表!D344</f>
        <v>0</v>
      </c>
      <c r="E343" s="212">
        <f>结算审核明细表!I344</f>
        <v>1</v>
      </c>
      <c r="F343" s="213">
        <f ca="1">工程量计算稿!E362</f>
        <v>0</v>
      </c>
      <c r="G343" s="214">
        <f ca="1" t="shared" si="45"/>
        <v>0</v>
      </c>
      <c r="H343" s="214">
        <f ca="1" t="shared" si="46"/>
        <v>-1</v>
      </c>
      <c r="I343" s="230"/>
      <c r="J343" s="231"/>
    </row>
    <row r="344" ht="16.5" customHeight="1" spans="1:10">
      <c r="A344" s="208">
        <f>工程量计算稿!A363</f>
        <v>6</v>
      </c>
      <c r="B344" s="209" t="str">
        <f>工程量计算稿!B363</f>
        <v>220V低压供电线路</v>
      </c>
      <c r="C344" s="210" t="str">
        <f>工程量计算稿!C363</f>
        <v>km</v>
      </c>
      <c r="D344" s="211">
        <f>结算审核明细表!D345</f>
        <v>0</v>
      </c>
      <c r="E344" s="212">
        <f>结算审核明细表!I345</f>
        <v>0.1</v>
      </c>
      <c r="F344" s="213">
        <f ca="1">工程量计算稿!E363</f>
        <v>0</v>
      </c>
      <c r="G344" s="214">
        <f ca="1" t="shared" si="45"/>
        <v>0</v>
      </c>
      <c r="H344" s="214">
        <f ca="1" t="shared" si="46"/>
        <v>-0.1</v>
      </c>
      <c r="I344" s="230"/>
      <c r="J344" s="231"/>
    </row>
    <row r="345" ht="16.5" customHeight="1" spans="1:9">
      <c r="A345" s="208">
        <f>工程量计算稿!A364</f>
        <v>7</v>
      </c>
      <c r="B345" s="209" t="str">
        <f>工程量计算稿!B364</f>
        <v>浮球阀</v>
      </c>
      <c r="C345" s="210" t="str">
        <f>工程量计算稿!C364</f>
        <v>个</v>
      </c>
      <c r="D345" s="211">
        <f>结算审核明细表!D346</f>
        <v>0</v>
      </c>
      <c r="E345" s="212">
        <f>结算审核明细表!I346</f>
        <v>1</v>
      </c>
      <c r="F345" s="213">
        <f ca="1">工程量计算稿!E364</f>
        <v>1</v>
      </c>
      <c r="G345" s="214">
        <f ca="1" t="shared" si="45"/>
        <v>1</v>
      </c>
      <c r="H345" s="214">
        <f ca="1" t="shared" si="46"/>
        <v>0</v>
      </c>
      <c r="I345" s="230"/>
    </row>
    <row r="346" s="164" customFormat="1" ht="16.5" customHeight="1" spans="1:12">
      <c r="A346" s="201" t="str">
        <f>工程量计算稿!A365</f>
        <v>(三)</v>
      </c>
      <c r="B346" s="202" t="str">
        <f>工程量计算稿!B365</f>
        <v>刘家湾供水工程</v>
      </c>
      <c r="C346" s="203"/>
      <c r="D346" s="204"/>
      <c r="E346" s="205"/>
      <c r="F346" s="206"/>
      <c r="G346" s="207"/>
      <c r="H346" s="207"/>
      <c r="I346" s="229"/>
      <c r="J346" s="172"/>
      <c r="K346" s="173"/>
      <c r="L346" s="173"/>
    </row>
    <row r="347" ht="16.5" customHeight="1" spans="1:9">
      <c r="A347" s="208">
        <f>工程量计算稿!A366</f>
        <v>1</v>
      </c>
      <c r="B347" s="209" t="str">
        <f>工程量计算稿!B366</f>
        <v>dn90mmPE管</v>
      </c>
      <c r="C347" s="210" t="str">
        <f>工程量计算稿!C366</f>
        <v>m</v>
      </c>
      <c r="D347" s="211">
        <f>结算审核明细表!D348</f>
        <v>0</v>
      </c>
      <c r="E347" s="212">
        <f>结算审核明细表!I348</f>
        <v>3</v>
      </c>
      <c r="F347" s="213">
        <f ca="1">工程量计算稿!E366</f>
        <v>3</v>
      </c>
      <c r="G347" s="214">
        <f ca="1" t="shared" si="45"/>
        <v>3</v>
      </c>
      <c r="H347" s="214">
        <f ca="1" t="shared" si="46"/>
        <v>0</v>
      </c>
      <c r="I347" s="230"/>
    </row>
    <row r="348" ht="16.5" customHeight="1" spans="1:9">
      <c r="A348" s="208">
        <f>工程量计算稿!A367</f>
        <v>2</v>
      </c>
      <c r="B348" s="209" t="str">
        <f>工程量计算稿!B367</f>
        <v>dn80mm闸阀</v>
      </c>
      <c r="C348" s="210" t="str">
        <f>工程量计算稿!C367</f>
        <v>个</v>
      </c>
      <c r="D348" s="211">
        <f>结算审核明细表!D349</f>
        <v>0</v>
      </c>
      <c r="E348" s="212">
        <f>结算审核明细表!I349</f>
        <v>1</v>
      </c>
      <c r="F348" s="213">
        <f ca="1">工程量计算稿!E367</f>
        <v>1</v>
      </c>
      <c r="G348" s="214">
        <f ca="1" t="shared" si="45"/>
        <v>1</v>
      </c>
      <c r="H348" s="214">
        <f ca="1" t="shared" si="46"/>
        <v>0</v>
      </c>
      <c r="I348" s="230"/>
    </row>
    <row r="349" ht="16.5" customHeight="1" spans="1:9">
      <c r="A349" s="208">
        <f>工程量计算稿!A368</f>
        <v>3</v>
      </c>
      <c r="B349" s="209" t="str">
        <f>工程量计算稿!B368</f>
        <v>dn63mmPE管购、运、安</v>
      </c>
      <c r="C349" s="210" t="str">
        <f>工程量计算稿!C368</f>
        <v>m</v>
      </c>
      <c r="D349" s="211">
        <f>结算审核明细表!D350</f>
        <v>0</v>
      </c>
      <c r="E349" s="212">
        <f>结算审核明细表!I350</f>
        <v>2</v>
      </c>
      <c r="F349" s="213">
        <f ca="1">工程量计算稿!E368</f>
        <v>2</v>
      </c>
      <c r="G349" s="214">
        <f ca="1" t="shared" si="45"/>
        <v>2</v>
      </c>
      <c r="H349" s="214">
        <f ca="1" t="shared" si="46"/>
        <v>0</v>
      </c>
      <c r="I349" s="230"/>
    </row>
    <row r="350" ht="16.5" customHeight="1" spans="1:9">
      <c r="A350" s="208">
        <f>工程量计算稿!A369</f>
        <v>4</v>
      </c>
      <c r="B350" s="209" t="str">
        <f>工程量计算稿!B369</f>
        <v>dn63mm闸阀购、运、安</v>
      </c>
      <c r="C350" s="210" t="str">
        <f>工程量计算稿!C369</f>
        <v>个</v>
      </c>
      <c r="D350" s="211">
        <f>结算审核明细表!D351</f>
        <v>0</v>
      </c>
      <c r="E350" s="212">
        <f>结算审核明细表!I351</f>
        <v>2</v>
      </c>
      <c r="F350" s="213">
        <f ca="1">工程量计算稿!E369</f>
        <v>2</v>
      </c>
      <c r="G350" s="214">
        <f ca="1" t="shared" si="45"/>
        <v>2</v>
      </c>
      <c r="H350" s="214">
        <f ca="1" t="shared" si="46"/>
        <v>0</v>
      </c>
      <c r="I350" s="230"/>
    </row>
    <row r="351" s="164" customFormat="1" ht="16.5" customHeight="1" spans="1:12">
      <c r="A351" s="208">
        <f>工程量计算稿!A370</f>
        <v>5</v>
      </c>
      <c r="B351" s="209" t="str">
        <f>工程量计算稿!B370</f>
        <v>220V低压供电线路</v>
      </c>
      <c r="C351" s="210" t="str">
        <f>工程量计算稿!C370</f>
        <v>km</v>
      </c>
      <c r="D351" s="211">
        <f>结算审核明细表!D352</f>
        <v>0</v>
      </c>
      <c r="E351" s="212">
        <f>结算审核明细表!I352</f>
        <v>0.15</v>
      </c>
      <c r="F351" s="213">
        <f ca="1">工程量计算稿!E370</f>
        <v>0</v>
      </c>
      <c r="G351" s="214">
        <f ca="1" t="shared" si="45"/>
        <v>0</v>
      </c>
      <c r="H351" s="214">
        <f ca="1" t="shared" si="46"/>
        <v>-0.15</v>
      </c>
      <c r="I351" s="230"/>
      <c r="J351" s="231"/>
      <c r="K351" s="173"/>
      <c r="L351" s="173"/>
    </row>
    <row r="352" ht="16.5" customHeight="1" spans="1:9">
      <c r="A352" s="208">
        <f>工程量计算稿!A371</f>
        <v>6</v>
      </c>
      <c r="B352" s="209" t="str">
        <f>工程量计算稿!B371</f>
        <v>浮球阀</v>
      </c>
      <c r="C352" s="210" t="str">
        <f>工程量计算稿!C371</f>
        <v>个</v>
      </c>
      <c r="D352" s="211">
        <f>结算审核明细表!D353</f>
        <v>0</v>
      </c>
      <c r="E352" s="212">
        <f>结算审核明细表!I353</f>
        <v>1</v>
      </c>
      <c r="F352" s="213">
        <f ca="1">工程量计算稿!E371</f>
        <v>1</v>
      </c>
      <c r="G352" s="214">
        <f ca="1" t="shared" si="45"/>
        <v>1</v>
      </c>
      <c r="H352" s="214">
        <f ca="1" t="shared" si="46"/>
        <v>0</v>
      </c>
      <c r="I352" s="230"/>
    </row>
    <row r="353" ht="16.5" customHeight="1" spans="1:10">
      <c r="A353" s="208">
        <f>工程量计算稿!A372</f>
        <v>7</v>
      </c>
      <c r="B353" s="209" t="str">
        <f>工程量计算稿!B372</f>
        <v>杀毒器购、运、安</v>
      </c>
      <c r="C353" s="210" t="str">
        <f>工程量计算稿!C372</f>
        <v>个</v>
      </c>
      <c r="D353" s="211">
        <f>结算审核明细表!D354</f>
        <v>0</v>
      </c>
      <c r="E353" s="212">
        <f>结算审核明细表!I354</f>
        <v>1</v>
      </c>
      <c r="F353" s="213">
        <f ca="1">工程量计算稿!E372</f>
        <v>0</v>
      </c>
      <c r="G353" s="214">
        <f ca="1" t="shared" si="45"/>
        <v>0</v>
      </c>
      <c r="H353" s="214">
        <f ca="1" t="shared" si="46"/>
        <v>-1</v>
      </c>
      <c r="I353" s="230"/>
      <c r="J353" s="231"/>
    </row>
    <row r="354" ht="16.5" customHeight="1" spans="1:9">
      <c r="A354" s="201" t="str">
        <f>工程量计算稿!A373</f>
        <v>(四)</v>
      </c>
      <c r="B354" s="202" t="str">
        <f>工程量计算稿!B373</f>
        <v>张家梁供水工程</v>
      </c>
      <c r="C354" s="203" t="str">
        <f>工程量计算稿!C373</f>
        <v/>
      </c>
      <c r="D354" s="204"/>
      <c r="E354" s="205"/>
      <c r="F354" s="206"/>
      <c r="G354" s="207"/>
      <c r="H354" s="207"/>
      <c r="I354" s="229"/>
    </row>
    <row r="355" ht="16.5" customHeight="1" spans="1:9">
      <c r="A355" s="208">
        <f>工程量计算稿!A374</f>
        <v>1</v>
      </c>
      <c r="B355" s="209" t="str">
        <f>工程量计算稿!B374</f>
        <v>dn90mmPE管</v>
      </c>
      <c r="C355" s="210" t="str">
        <f>工程量计算稿!C374</f>
        <v>m</v>
      </c>
      <c r="D355" s="211">
        <f>结算审核明细表!D356</f>
        <v>0</v>
      </c>
      <c r="E355" s="212">
        <f>结算审核明细表!I356</f>
        <v>3</v>
      </c>
      <c r="F355" s="213">
        <f ca="1">工程量计算稿!E374</f>
        <v>3</v>
      </c>
      <c r="G355" s="214">
        <f ca="1" t="shared" si="45"/>
        <v>3</v>
      </c>
      <c r="H355" s="214">
        <f ca="1" t="shared" si="46"/>
        <v>0</v>
      </c>
      <c r="I355" s="230"/>
    </row>
    <row r="356" s="164" customFormat="1" ht="16.5" customHeight="1" spans="1:12">
      <c r="A356" s="208">
        <f>工程量计算稿!A375</f>
        <v>2</v>
      </c>
      <c r="B356" s="209" t="str">
        <f>工程量计算稿!B375</f>
        <v>dn80mm闸阀</v>
      </c>
      <c r="C356" s="210" t="str">
        <f>工程量计算稿!C375</f>
        <v>个</v>
      </c>
      <c r="D356" s="211">
        <f>结算审核明细表!D357</f>
        <v>0</v>
      </c>
      <c r="E356" s="212">
        <f>结算审核明细表!I357</f>
        <v>1</v>
      </c>
      <c r="F356" s="213">
        <f ca="1">工程量计算稿!E375</f>
        <v>1</v>
      </c>
      <c r="G356" s="214">
        <f ca="1" t="shared" si="45"/>
        <v>1</v>
      </c>
      <c r="H356" s="214">
        <f ca="1" t="shared" si="46"/>
        <v>0</v>
      </c>
      <c r="I356" s="230"/>
      <c r="J356" s="172"/>
      <c r="K356" s="173"/>
      <c r="L356" s="173"/>
    </row>
    <row r="357" ht="16.5" customHeight="1" spans="1:9">
      <c r="A357" s="208">
        <f>工程量计算稿!A376</f>
        <v>3</v>
      </c>
      <c r="B357" s="209" t="str">
        <f>工程量计算稿!B376</f>
        <v>dn63mmPE管购、运、安</v>
      </c>
      <c r="C357" s="210" t="str">
        <f>工程量计算稿!C376</f>
        <v>m</v>
      </c>
      <c r="D357" s="211">
        <f>结算审核明细表!D358</f>
        <v>0</v>
      </c>
      <c r="E357" s="212">
        <f>结算审核明细表!I358</f>
        <v>2</v>
      </c>
      <c r="F357" s="213">
        <f ca="1">工程量计算稿!E376</f>
        <v>2</v>
      </c>
      <c r="G357" s="214">
        <f ca="1" t="shared" si="45"/>
        <v>2</v>
      </c>
      <c r="H357" s="214">
        <f ca="1" t="shared" si="46"/>
        <v>0</v>
      </c>
      <c r="I357" s="230"/>
    </row>
    <row r="358" ht="16.5" customHeight="1" spans="1:9">
      <c r="A358" s="208">
        <f>工程量计算稿!A377</f>
        <v>4</v>
      </c>
      <c r="B358" s="209" t="str">
        <f>工程量计算稿!B377</f>
        <v>dn63mm闸阀购、运、安</v>
      </c>
      <c r="C358" s="210" t="str">
        <f>工程量计算稿!C377</f>
        <v>个</v>
      </c>
      <c r="D358" s="211">
        <f>结算审核明细表!D359</f>
        <v>0</v>
      </c>
      <c r="E358" s="212">
        <f>结算审核明细表!I359</f>
        <v>2</v>
      </c>
      <c r="F358" s="213">
        <f ca="1">工程量计算稿!E377</f>
        <v>2</v>
      </c>
      <c r="G358" s="214">
        <f ca="1" t="shared" si="45"/>
        <v>2</v>
      </c>
      <c r="H358" s="214">
        <f ca="1" t="shared" si="46"/>
        <v>0</v>
      </c>
      <c r="I358" s="230"/>
    </row>
    <row r="359" ht="16.5" customHeight="1" spans="1:10">
      <c r="A359" s="208">
        <f>工程量计算稿!A378</f>
        <v>5</v>
      </c>
      <c r="B359" s="209" t="str">
        <f>工程量计算稿!B378</f>
        <v>220V低压供电线路</v>
      </c>
      <c r="C359" s="210" t="str">
        <f>工程量计算稿!C378</f>
        <v>km</v>
      </c>
      <c r="D359" s="211">
        <f>结算审核明细表!D360</f>
        <v>0</v>
      </c>
      <c r="E359" s="212">
        <f>结算审核明细表!I360</f>
        <v>0.15</v>
      </c>
      <c r="F359" s="213">
        <f ca="1">工程量计算稿!E378</f>
        <v>0</v>
      </c>
      <c r="G359" s="214">
        <f ca="1" t="shared" si="45"/>
        <v>0</v>
      </c>
      <c r="H359" s="214">
        <f ca="1" t="shared" si="46"/>
        <v>-0.15</v>
      </c>
      <c r="I359" s="230"/>
      <c r="J359" s="231"/>
    </row>
    <row r="360" ht="16.5" customHeight="1" spans="1:9">
      <c r="A360" s="208">
        <f>工程量计算稿!A379</f>
        <v>6</v>
      </c>
      <c r="B360" s="209" t="str">
        <f>工程量计算稿!B379</f>
        <v>浮球阀</v>
      </c>
      <c r="C360" s="210" t="str">
        <f>工程量计算稿!C379</f>
        <v>个</v>
      </c>
      <c r="D360" s="211">
        <f>结算审核明细表!D361</f>
        <v>0</v>
      </c>
      <c r="E360" s="212">
        <f>结算审核明细表!I361</f>
        <v>1</v>
      </c>
      <c r="F360" s="213">
        <f ca="1">工程量计算稿!E379</f>
        <v>1</v>
      </c>
      <c r="G360" s="214">
        <f ca="1" t="shared" si="45"/>
        <v>1</v>
      </c>
      <c r="H360" s="214">
        <f ca="1" t="shared" si="46"/>
        <v>0</v>
      </c>
      <c r="I360" s="230"/>
    </row>
    <row r="361" ht="16.5" customHeight="1" spans="1:10">
      <c r="A361" s="208">
        <f>工程量计算稿!A380</f>
        <v>7</v>
      </c>
      <c r="B361" s="209" t="str">
        <f>工程量计算稿!B380</f>
        <v>杀毒器购、运、安</v>
      </c>
      <c r="C361" s="210" t="str">
        <f>工程量计算稿!C380</f>
        <v>个</v>
      </c>
      <c r="D361" s="211">
        <f>结算审核明细表!D362</f>
        <v>0</v>
      </c>
      <c r="E361" s="212">
        <f>结算审核明细表!I362</f>
        <v>1</v>
      </c>
      <c r="F361" s="213">
        <f ca="1">工程量计算稿!E380</f>
        <v>0</v>
      </c>
      <c r="G361" s="214">
        <f ca="1" t="shared" si="45"/>
        <v>0</v>
      </c>
      <c r="H361" s="214">
        <f ca="1" t="shared" si="46"/>
        <v>-1</v>
      </c>
      <c r="I361" s="230"/>
      <c r="J361" s="231"/>
    </row>
    <row r="362" ht="16.5" customHeight="1" spans="1:9">
      <c r="A362" s="201" t="str">
        <f>工程量计算稿!A381</f>
        <v>(五)</v>
      </c>
      <c r="B362" s="202" t="str">
        <f>工程量计算稿!B381</f>
        <v>李家山供水工程</v>
      </c>
      <c r="C362" s="203" t="str">
        <f>工程量计算稿!C381</f>
        <v/>
      </c>
      <c r="D362" s="204"/>
      <c r="E362" s="205"/>
      <c r="F362" s="206"/>
      <c r="G362" s="207"/>
      <c r="H362" s="207"/>
      <c r="I362" s="229"/>
    </row>
    <row r="363" ht="16.5" customHeight="1" spans="1:9">
      <c r="A363" s="208">
        <f>工程量计算稿!A382</f>
        <v>1</v>
      </c>
      <c r="B363" s="209" t="str">
        <f>工程量计算稿!B382</f>
        <v>dn90mmPE管</v>
      </c>
      <c r="C363" s="210" t="str">
        <f>工程量计算稿!C382</f>
        <v>m</v>
      </c>
      <c r="D363" s="211">
        <f>结算审核明细表!D364</f>
        <v>0</v>
      </c>
      <c r="E363" s="212">
        <f>结算审核明细表!I364</f>
        <v>3</v>
      </c>
      <c r="F363" s="213">
        <f ca="1">工程量计算稿!E382</f>
        <v>3</v>
      </c>
      <c r="G363" s="214">
        <f ca="1" t="shared" si="45"/>
        <v>3</v>
      </c>
      <c r="H363" s="214">
        <f ca="1" t="shared" si="46"/>
        <v>0</v>
      </c>
      <c r="I363" s="230"/>
    </row>
    <row r="364" ht="16.5" customHeight="1" spans="1:9">
      <c r="A364" s="208">
        <f>工程量计算稿!A383</f>
        <v>2</v>
      </c>
      <c r="B364" s="209" t="str">
        <f>工程量计算稿!B383</f>
        <v>dn80mm闸阀</v>
      </c>
      <c r="C364" s="210" t="str">
        <f>工程量计算稿!C383</f>
        <v>个</v>
      </c>
      <c r="D364" s="211">
        <f>结算审核明细表!D365</f>
        <v>0</v>
      </c>
      <c r="E364" s="212">
        <f>结算审核明细表!I365</f>
        <v>1</v>
      </c>
      <c r="F364" s="213">
        <f ca="1">工程量计算稿!E383</f>
        <v>1</v>
      </c>
      <c r="G364" s="214">
        <f ca="1" t="shared" si="45"/>
        <v>1</v>
      </c>
      <c r="H364" s="214">
        <f ca="1" t="shared" si="46"/>
        <v>0</v>
      </c>
      <c r="I364" s="230"/>
    </row>
    <row r="365" ht="16.5" customHeight="1" spans="1:9">
      <c r="A365" s="208">
        <f>工程量计算稿!A384</f>
        <v>3</v>
      </c>
      <c r="B365" s="209" t="str">
        <f>工程量计算稿!B384</f>
        <v>dn63mmPE管购、运、安</v>
      </c>
      <c r="C365" s="210" t="str">
        <f>工程量计算稿!C384</f>
        <v>m</v>
      </c>
      <c r="D365" s="211">
        <f>结算审核明细表!D366</f>
        <v>0</v>
      </c>
      <c r="E365" s="212">
        <f>结算审核明细表!I366</f>
        <v>2</v>
      </c>
      <c r="F365" s="213">
        <f ca="1">工程量计算稿!E384</f>
        <v>2</v>
      </c>
      <c r="G365" s="214">
        <f ca="1" t="shared" si="45"/>
        <v>2</v>
      </c>
      <c r="H365" s="214">
        <f ca="1" t="shared" si="46"/>
        <v>0</v>
      </c>
      <c r="I365" s="230"/>
    </row>
    <row r="366" ht="16.5" customHeight="1" spans="1:9">
      <c r="A366" s="208">
        <f>工程量计算稿!A385</f>
        <v>4</v>
      </c>
      <c r="B366" s="209" t="str">
        <f>工程量计算稿!B385</f>
        <v>dn63mm闸阀购、运、安</v>
      </c>
      <c r="C366" s="210" t="str">
        <f>工程量计算稿!C385</f>
        <v>个</v>
      </c>
      <c r="D366" s="211">
        <f>结算审核明细表!D367</f>
        <v>0</v>
      </c>
      <c r="E366" s="212">
        <f>结算审核明细表!I367</f>
        <v>2</v>
      </c>
      <c r="F366" s="213">
        <f ca="1">工程量计算稿!E385</f>
        <v>2</v>
      </c>
      <c r="G366" s="214">
        <f ca="1" t="shared" ref="G366:G373" si="47">F366-D366</f>
        <v>2</v>
      </c>
      <c r="H366" s="214">
        <f ca="1" t="shared" ref="H366:H373" si="48">F366-E366</f>
        <v>0</v>
      </c>
      <c r="I366" s="230"/>
    </row>
    <row r="367" ht="16.5" customHeight="1" spans="1:10">
      <c r="A367" s="208">
        <f>工程量计算稿!A386</f>
        <v>5</v>
      </c>
      <c r="B367" s="209" t="str">
        <f>工程量计算稿!B386</f>
        <v>220V低压供电线路</v>
      </c>
      <c r="C367" s="210" t="str">
        <f>工程量计算稿!C386</f>
        <v>km</v>
      </c>
      <c r="D367" s="211">
        <f>结算审核明细表!D368</f>
        <v>0</v>
      </c>
      <c r="E367" s="212">
        <f>结算审核明细表!I368</f>
        <v>0.15</v>
      </c>
      <c r="F367" s="213">
        <f ca="1">工程量计算稿!E386</f>
        <v>0</v>
      </c>
      <c r="G367" s="214">
        <f ca="1" t="shared" si="47"/>
        <v>0</v>
      </c>
      <c r="H367" s="214">
        <f ca="1" t="shared" si="48"/>
        <v>-0.15</v>
      </c>
      <c r="I367" s="230"/>
      <c r="J367" s="231"/>
    </row>
    <row r="368" ht="16.5" customHeight="1" spans="1:9">
      <c r="A368" s="208">
        <f>工程量计算稿!A387</f>
        <v>6</v>
      </c>
      <c r="B368" s="209" t="str">
        <f>工程量计算稿!B387</f>
        <v>浮球阀</v>
      </c>
      <c r="C368" s="210" t="str">
        <f>工程量计算稿!C387</f>
        <v>个</v>
      </c>
      <c r="D368" s="211">
        <f>结算审核明细表!D369</f>
        <v>0</v>
      </c>
      <c r="E368" s="212">
        <f>结算审核明细表!I369</f>
        <v>1</v>
      </c>
      <c r="F368" s="213">
        <f ca="1">工程量计算稿!E387</f>
        <v>1</v>
      </c>
      <c r="G368" s="214">
        <f ca="1" t="shared" si="47"/>
        <v>1</v>
      </c>
      <c r="H368" s="214">
        <f ca="1" t="shared" si="48"/>
        <v>0</v>
      </c>
      <c r="I368" s="230"/>
    </row>
    <row r="369" ht="16.5" customHeight="1" spans="1:10">
      <c r="A369" s="208">
        <f>工程量计算稿!A388</f>
        <v>7</v>
      </c>
      <c r="B369" s="209" t="str">
        <f>工程量计算稿!B388</f>
        <v>杀毒器购、运、安</v>
      </c>
      <c r="C369" s="210" t="str">
        <f>工程量计算稿!C388</f>
        <v>个</v>
      </c>
      <c r="D369" s="211">
        <f>结算审核明细表!D370</f>
        <v>0</v>
      </c>
      <c r="E369" s="212">
        <f>结算审核明细表!I370</f>
        <v>1</v>
      </c>
      <c r="F369" s="213">
        <f ca="1">工程量计算稿!E388</f>
        <v>0</v>
      </c>
      <c r="G369" s="214">
        <f ca="1" t="shared" si="47"/>
        <v>0</v>
      </c>
      <c r="H369" s="214">
        <f ca="1" t="shared" si="48"/>
        <v>-1</v>
      </c>
      <c r="I369" s="230"/>
      <c r="J369" s="231"/>
    </row>
    <row r="370" ht="16.5" customHeight="1" spans="1:9">
      <c r="A370" s="201" t="str">
        <f>工程量计算稿!A389</f>
        <v>(六)</v>
      </c>
      <c r="B370" s="202" t="str">
        <f>工程量计算稿!B389</f>
        <v>陈家河陈文如处供水工程</v>
      </c>
      <c r="C370" s="203" t="str">
        <f>工程量计算稿!C389</f>
        <v/>
      </c>
      <c r="D370" s="204"/>
      <c r="E370" s="205"/>
      <c r="F370" s="206"/>
      <c r="G370" s="207"/>
      <c r="H370" s="207"/>
      <c r="I370" s="229"/>
    </row>
    <row r="371" ht="16.5" customHeight="1" spans="1:9">
      <c r="A371" s="208">
        <f>工程量计算稿!A390</f>
        <v>1</v>
      </c>
      <c r="B371" s="209" t="str">
        <f>工程量计算稿!B390</f>
        <v>dn63mmPE管</v>
      </c>
      <c r="C371" s="210" t="str">
        <f>工程量计算稿!C390</f>
        <v>m</v>
      </c>
      <c r="D371" s="211">
        <f>结算审核明细表!D372</f>
        <v>0</v>
      </c>
      <c r="E371" s="212">
        <f>结算审核明细表!I372</f>
        <v>3</v>
      </c>
      <c r="F371" s="213">
        <f ca="1">工程量计算稿!E390</f>
        <v>3</v>
      </c>
      <c r="G371" s="214">
        <f ca="1" t="shared" si="47"/>
        <v>3</v>
      </c>
      <c r="H371" s="214">
        <f ca="1" t="shared" si="48"/>
        <v>0</v>
      </c>
      <c r="I371" s="230"/>
    </row>
    <row r="372" ht="16.5" customHeight="1" spans="1:9">
      <c r="A372" s="208">
        <f>工程量计算稿!A391</f>
        <v>2</v>
      </c>
      <c r="B372" s="209" t="str">
        <f>工程量计算稿!B391</f>
        <v>dn50mm闸阀</v>
      </c>
      <c r="C372" s="210" t="str">
        <f>工程量计算稿!C391</f>
        <v>个</v>
      </c>
      <c r="D372" s="211">
        <f>结算审核明细表!D373</f>
        <v>0</v>
      </c>
      <c r="E372" s="212">
        <f>结算审核明细表!I373</f>
        <v>2</v>
      </c>
      <c r="F372" s="213">
        <f ca="1">工程量计算稿!E391</f>
        <v>2</v>
      </c>
      <c r="G372" s="214">
        <f ca="1" t="shared" si="47"/>
        <v>2</v>
      </c>
      <c r="H372" s="214">
        <f ca="1" t="shared" si="48"/>
        <v>0</v>
      </c>
      <c r="I372" s="230"/>
    </row>
    <row r="373" ht="16.5" customHeight="1" spans="1:9">
      <c r="A373" s="208">
        <f>工程量计算稿!A392</f>
        <v>3</v>
      </c>
      <c r="B373" s="209" t="str">
        <f>工程量计算稿!B392</f>
        <v>dn63mmPE管购、运、安</v>
      </c>
      <c r="C373" s="210" t="str">
        <f>工程量计算稿!C392</f>
        <v>m</v>
      </c>
      <c r="D373" s="211">
        <f>结算审核明细表!D374</f>
        <v>0</v>
      </c>
      <c r="E373" s="212">
        <f>结算审核明细表!I374</f>
        <v>3</v>
      </c>
      <c r="F373" s="213">
        <f ca="1">工程量计算稿!E392</f>
        <v>3</v>
      </c>
      <c r="G373" s="214">
        <f ca="1" t="shared" si="47"/>
        <v>3</v>
      </c>
      <c r="H373" s="214">
        <f ca="1" t="shared" si="48"/>
        <v>0</v>
      </c>
      <c r="I373" s="230"/>
    </row>
    <row r="374" ht="16.5" customHeight="1" spans="1:9">
      <c r="A374" s="189" t="str">
        <f>工程量计算稿!A393</f>
        <v>三</v>
      </c>
      <c r="B374" s="195" t="str">
        <f>工程量计算稿!B393</f>
        <v>库房领取管材</v>
      </c>
      <c r="C374" s="196"/>
      <c r="D374" s="197"/>
      <c r="E374" s="198"/>
      <c r="F374" s="199"/>
      <c r="G374" s="200"/>
      <c r="H374" s="200"/>
      <c r="I374" s="228"/>
    </row>
    <row r="375" ht="16.5" customHeight="1" spans="1:9">
      <c r="A375" s="208">
        <f>工程量计算稿!A394</f>
        <v>1</v>
      </c>
      <c r="B375" s="209" t="str">
        <f>工程量计算稿!B394</f>
        <v>dn63mmPE管安装（供水主管）</v>
      </c>
      <c r="C375" s="210" t="str">
        <f>工程量计算稿!C394</f>
        <v>m</v>
      </c>
      <c r="D375" s="211">
        <f>结算审核明细表!D376</f>
        <v>3400</v>
      </c>
      <c r="E375" s="212">
        <f>结算审核明细表!I376</f>
        <v>2500</v>
      </c>
      <c r="F375" s="213">
        <f ca="1">工程量计算稿!E394</f>
        <v>2500</v>
      </c>
      <c r="G375" s="214">
        <f ca="1" t="shared" ref="G375:G384" si="49">F375-D375</f>
        <v>-900</v>
      </c>
      <c r="H375" s="214">
        <f ca="1" t="shared" ref="H375:H384" si="50">F375-E375</f>
        <v>0</v>
      </c>
      <c r="I375" s="230"/>
    </row>
    <row r="376" ht="16.5" customHeight="1" spans="1:9">
      <c r="A376" s="208">
        <f>工程量计算稿!A395</f>
        <v>2</v>
      </c>
      <c r="B376" s="209" t="str">
        <f>工程量计算稿!B395</f>
        <v>dn50mmPE管安装（供水主管）</v>
      </c>
      <c r="C376" s="210" t="str">
        <f>工程量计算稿!C395</f>
        <v>m</v>
      </c>
      <c r="D376" s="211">
        <f>结算审核明细表!D377</f>
        <v>7000</v>
      </c>
      <c r="E376" s="212">
        <f>结算审核明细表!I377</f>
        <v>3800</v>
      </c>
      <c r="F376" s="213">
        <f ca="1">工程量计算稿!E395</f>
        <v>3800</v>
      </c>
      <c r="G376" s="214">
        <f ca="1" t="shared" si="49"/>
        <v>-3200</v>
      </c>
      <c r="H376" s="214">
        <f ca="1" t="shared" si="50"/>
        <v>0</v>
      </c>
      <c r="I376" s="230"/>
    </row>
    <row r="377" ht="16.5" customHeight="1" spans="1:9">
      <c r="A377" s="208">
        <f>工程量计算稿!A396</f>
        <v>3</v>
      </c>
      <c r="B377" s="209" t="str">
        <f>工程量计算稿!B396</f>
        <v>dn40mmPE管安装（供水主管）</v>
      </c>
      <c r="C377" s="210" t="str">
        <f>工程量计算稿!C396</f>
        <v>m</v>
      </c>
      <c r="D377" s="211">
        <f>结算审核明细表!D378</f>
        <v>6800</v>
      </c>
      <c r="E377" s="212">
        <f>结算审核明细表!I378</f>
        <v>2000</v>
      </c>
      <c r="F377" s="213">
        <f ca="1">工程量计算稿!E396</f>
        <v>2000</v>
      </c>
      <c r="G377" s="214">
        <f ca="1" t="shared" si="49"/>
        <v>-4800</v>
      </c>
      <c r="H377" s="214">
        <f ca="1" t="shared" si="50"/>
        <v>0</v>
      </c>
      <c r="I377" s="230"/>
    </row>
    <row r="378" ht="16.5" customHeight="1" spans="1:9">
      <c r="A378" s="208">
        <f>工程量计算稿!A397</f>
        <v>4</v>
      </c>
      <c r="B378" s="209" t="str">
        <f>工程量计算稿!B397</f>
        <v>dn32mmPE管安装（供水主管）</v>
      </c>
      <c r="C378" s="210" t="str">
        <f>工程量计算稿!C397</f>
        <v>m</v>
      </c>
      <c r="D378" s="211">
        <f>结算审核明细表!D379</f>
        <v>16100</v>
      </c>
      <c r="E378" s="212">
        <f>结算审核明细表!I379</f>
        <v>12000</v>
      </c>
      <c r="F378" s="213">
        <f ca="1">工程量计算稿!E397</f>
        <v>12000</v>
      </c>
      <c r="G378" s="214">
        <f ca="1" t="shared" si="49"/>
        <v>-4100</v>
      </c>
      <c r="H378" s="214">
        <f ca="1" t="shared" si="50"/>
        <v>0</v>
      </c>
      <c r="I378" s="230"/>
    </row>
    <row r="379" ht="16.5" customHeight="1" spans="1:9">
      <c r="A379" s="208">
        <f>工程量计算稿!A398</f>
        <v>5</v>
      </c>
      <c r="B379" s="209" t="str">
        <f>工程量计算稿!B398</f>
        <v>dn25mmPE管安装（供水主管）</v>
      </c>
      <c r="C379" s="210" t="str">
        <f>工程量计算稿!C398</f>
        <v>m</v>
      </c>
      <c r="D379" s="211">
        <f>结算审核明细表!D380</f>
        <v>17700</v>
      </c>
      <c r="E379" s="212">
        <f>结算审核明细表!I380</f>
        <v>8800</v>
      </c>
      <c r="F379" s="213">
        <f ca="1">工程量计算稿!E398</f>
        <v>8800</v>
      </c>
      <c r="G379" s="214">
        <f ca="1" t="shared" si="49"/>
        <v>-8900</v>
      </c>
      <c r="H379" s="214">
        <f ca="1" t="shared" si="50"/>
        <v>0</v>
      </c>
      <c r="I379" s="230"/>
    </row>
    <row r="380" ht="16.5" customHeight="1" spans="1:9">
      <c r="A380" s="208">
        <f>工程量计算稿!A399</f>
        <v>6</v>
      </c>
      <c r="B380" s="209" t="str">
        <f>工程量计算稿!B399</f>
        <v>dn20mmPE管安装（下户管）</v>
      </c>
      <c r="C380" s="210" t="str">
        <f>工程量计算稿!C399</f>
        <v>m</v>
      </c>
      <c r="D380" s="211">
        <f>结算审核明细表!D381</f>
        <v>30400</v>
      </c>
      <c r="E380" s="212">
        <f>结算审核明细表!I381</f>
        <v>16900</v>
      </c>
      <c r="F380" s="213">
        <f ca="1">工程量计算稿!E399</f>
        <v>16900</v>
      </c>
      <c r="G380" s="214">
        <f ca="1" t="shared" si="49"/>
        <v>-13500</v>
      </c>
      <c r="H380" s="214">
        <f ca="1" t="shared" si="50"/>
        <v>0</v>
      </c>
      <c r="I380" s="230"/>
    </row>
    <row r="381" ht="16.5" customHeight="1" spans="1:9">
      <c r="A381" s="208">
        <f>工程量计算稿!A400</f>
        <v>7</v>
      </c>
      <c r="B381" s="209" t="str">
        <f>工程量计算稿!B400</f>
        <v>各类管件</v>
      </c>
      <c r="C381" s="210" t="str">
        <f>工程量计算稿!C400</f>
        <v>%</v>
      </c>
      <c r="D381" s="211">
        <f>结算审核明细表!D382</f>
        <v>0</v>
      </c>
      <c r="E381" s="212">
        <f>结算审核明细表!I382</f>
        <v>0</v>
      </c>
      <c r="F381" s="213">
        <f ca="1">工程量计算稿!E400</f>
        <v>0</v>
      </c>
      <c r="G381" s="214">
        <f ca="1" t="shared" si="49"/>
        <v>0</v>
      </c>
      <c r="H381" s="214">
        <f ca="1" t="shared" si="50"/>
        <v>0</v>
      </c>
      <c r="I381" s="230"/>
    </row>
    <row r="382" ht="16.5" customHeight="1" spans="1:9">
      <c r="A382" s="208">
        <f>工程量计算稿!A401</f>
        <v>8</v>
      </c>
      <c r="B382" s="209" t="str">
        <f>工程量计算稿!B401</f>
        <v>dn100热镀钢管</v>
      </c>
      <c r="C382" s="210" t="str">
        <f>工程量计算稿!C401</f>
        <v>m</v>
      </c>
      <c r="D382" s="211">
        <f>结算审核明细表!D383</f>
        <v>8000</v>
      </c>
      <c r="E382" s="212">
        <f>结算审核明细表!I383</f>
        <v>0</v>
      </c>
      <c r="F382" s="213">
        <f ca="1">工程量计算稿!E401</f>
        <v>0</v>
      </c>
      <c r="G382" s="214">
        <f ca="1" t="shared" si="49"/>
        <v>-8000</v>
      </c>
      <c r="H382" s="214">
        <f ca="1" t="shared" si="50"/>
        <v>0</v>
      </c>
      <c r="I382" s="230"/>
    </row>
  </sheetData>
  <autoFilter xmlns:etc="http://www.wps.cn/officeDocument/2017/etCustomData" ref="A1:L382" etc:filterBottomFollowUsedRange="0">
    <extLst/>
  </autoFilter>
  <mergeCells count="18">
    <mergeCell ref="A1:I1"/>
    <mergeCell ref="A2:I2"/>
    <mergeCell ref="G3:H3"/>
    <mergeCell ref="A3:A4"/>
    <mergeCell ref="A11:A14"/>
    <mergeCell ref="A83:A86"/>
    <mergeCell ref="A142:A145"/>
    <mergeCell ref="A204:A205"/>
    <mergeCell ref="A253:A255"/>
    <mergeCell ref="B3:B4"/>
    <mergeCell ref="C3:C4"/>
    <mergeCell ref="D3:D4"/>
    <mergeCell ref="E3:E4"/>
    <mergeCell ref="F3:F4"/>
    <mergeCell ref="I3:I4"/>
    <mergeCell ref="I14:I15"/>
    <mergeCell ref="I86:I87"/>
    <mergeCell ref="I145:I146"/>
  </mergeCells>
  <pageMargins left="0.550694444444444" right="0.393055555555556" top="0.314583333333333" bottom="0.66875" header="0.236111111111111" footer="0.432638888888889"/>
  <pageSetup paperSize="9" scale="96" fitToHeight="0" orientation="portrait" horizontalDpi="600"/>
  <headerFooter>
    <oddHeader>&amp;R
&amp;10
第&amp;P页 共&amp;N页</oddHeader>
    <oddFooter>&amp;L&amp;10建设单位：&amp;C&amp;10施工单位：&amp;R&amp;10审核单位：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3"/>
  <sheetViews>
    <sheetView workbookViewId="0">
      <pane ySplit="3" topLeftCell="A250" activePane="bottomLeft" state="frozenSplit"/>
      <selection/>
      <selection pane="bottomLeft" activeCell="D264" sqref="D264"/>
    </sheetView>
  </sheetViews>
  <sheetFormatPr defaultColWidth="9" defaultRowHeight="16.5" customHeight="1"/>
  <cols>
    <col min="1" max="1" width="7.125" style="108" customWidth="1"/>
    <col min="2" max="2" width="36.5" style="109" customWidth="1"/>
    <col min="3" max="3" width="5.13333333333333" style="108" customWidth="1"/>
    <col min="4" max="4" width="47.625" style="110" customWidth="1"/>
    <col min="5" max="5" width="8.88333333333333" style="104" customWidth="1"/>
    <col min="6" max="6" width="13" style="111" customWidth="1"/>
    <col min="7" max="7" width="10.25" style="104" hidden="1" customWidth="1"/>
    <col min="8" max="8" width="9.25" style="104" hidden="1" customWidth="1"/>
    <col min="9" max="9" width="11.1333333333333" style="104" hidden="1" customWidth="1"/>
    <col min="10" max="10" width="12.625" style="104" hidden="1" customWidth="1"/>
    <col min="11" max="11" width="11.1333333333333" style="104" hidden="1" customWidth="1"/>
    <col min="12" max="16384" width="9" style="104"/>
  </cols>
  <sheetData>
    <row r="1" ht="48" customHeight="1" spans="1:6">
      <c r="A1" s="112" t="s">
        <v>89</v>
      </c>
      <c r="B1" s="113"/>
      <c r="C1" s="112"/>
      <c r="D1" s="114"/>
      <c r="E1" s="115"/>
      <c r="F1" s="116"/>
    </row>
    <row r="2" s="104" customFormat="1" ht="25" customHeight="1" spans="1:6">
      <c r="A2" s="117" t="s">
        <v>22</v>
      </c>
      <c r="B2" s="117"/>
      <c r="C2" s="117"/>
      <c r="D2" s="117"/>
      <c r="E2" s="117"/>
      <c r="F2" s="117"/>
    </row>
    <row r="3" s="105" customFormat="1" customHeight="1" spans="1:6">
      <c r="A3" s="118" t="s">
        <v>44</v>
      </c>
      <c r="B3" s="118" t="s">
        <v>24</v>
      </c>
      <c r="C3" s="118" t="s">
        <v>25</v>
      </c>
      <c r="D3" s="118" t="s">
        <v>90</v>
      </c>
      <c r="E3" s="118" t="s">
        <v>91</v>
      </c>
      <c r="F3" s="118" t="s">
        <v>48</v>
      </c>
    </row>
    <row r="4" s="105" customFormat="1" customHeight="1" spans="1:6">
      <c r="A4" s="119"/>
      <c r="B4" s="118" t="s">
        <v>54</v>
      </c>
      <c r="C4" s="119"/>
      <c r="D4" s="120"/>
      <c r="E4" s="121"/>
      <c r="F4" s="122"/>
    </row>
    <row r="5" s="105" customFormat="1" customHeight="1" spans="1:6">
      <c r="A5" s="123" t="s">
        <v>92</v>
      </c>
      <c r="B5" s="123" t="s">
        <v>93</v>
      </c>
      <c r="C5" s="124" t="s">
        <v>0</v>
      </c>
      <c r="D5" s="125"/>
      <c r="E5" s="126"/>
      <c r="F5" s="127"/>
    </row>
    <row r="6" s="105" customFormat="1" customHeight="1" spans="1:9">
      <c r="A6" s="118" t="s">
        <v>94</v>
      </c>
      <c r="B6" s="128" t="s">
        <v>95</v>
      </c>
      <c r="C6" s="118" t="s">
        <v>96</v>
      </c>
      <c r="D6" s="129"/>
      <c r="E6" s="130"/>
      <c r="F6" s="131"/>
      <c r="G6" s="105">
        <f>1.7-0.48</f>
        <v>1.22</v>
      </c>
      <c r="I6" s="144"/>
    </row>
    <row r="7" s="105" customFormat="1" customHeight="1" spans="1:9">
      <c r="A7" s="132">
        <v>1</v>
      </c>
      <c r="B7" s="133" t="s">
        <v>97</v>
      </c>
      <c r="C7" s="132" t="s">
        <v>98</v>
      </c>
      <c r="D7" s="129" t="s">
        <v>99</v>
      </c>
      <c r="E7" s="130">
        <f ca="1" t="shared" ref="E7:E15" si="0">EVALUATE(D7)</f>
        <v>31.5</v>
      </c>
      <c r="F7" s="131"/>
      <c r="I7" s="144"/>
    </row>
    <row r="8" s="105" customFormat="1" customHeight="1" spans="1:9">
      <c r="A8" s="132">
        <v>2</v>
      </c>
      <c r="B8" s="133" t="s">
        <v>100</v>
      </c>
      <c r="C8" s="132" t="s">
        <v>98</v>
      </c>
      <c r="D8" s="129" t="s">
        <v>101</v>
      </c>
      <c r="E8" s="130">
        <f ca="1" t="shared" si="0"/>
        <v>93.696</v>
      </c>
      <c r="F8" s="131"/>
      <c r="I8" s="136"/>
    </row>
    <row r="9" s="105" customFormat="1" customHeight="1" spans="1:9">
      <c r="A9" s="132">
        <v>3</v>
      </c>
      <c r="B9" s="133" t="s">
        <v>102</v>
      </c>
      <c r="C9" s="132" t="s">
        <v>98</v>
      </c>
      <c r="D9" s="129">
        <v>0</v>
      </c>
      <c r="E9" s="130">
        <f ca="1" t="shared" si="0"/>
        <v>0</v>
      </c>
      <c r="F9" s="131"/>
      <c r="I9" s="136"/>
    </row>
    <row r="10" s="105" customFormat="1" customHeight="1" spans="1:6">
      <c r="A10" s="134">
        <v>4</v>
      </c>
      <c r="B10" s="133" t="s">
        <v>103</v>
      </c>
      <c r="C10" s="132" t="s">
        <v>98</v>
      </c>
      <c r="D10" s="129" t="s">
        <v>104</v>
      </c>
      <c r="E10" s="130">
        <f ca="1" t="shared" si="0"/>
        <v>3.534</v>
      </c>
      <c r="F10" s="131"/>
    </row>
    <row r="11" s="105" customFormat="1" customHeight="1" spans="1:8">
      <c r="A11" s="135"/>
      <c r="B11" s="133" t="s">
        <v>105</v>
      </c>
      <c r="C11" s="132" t="s">
        <v>98</v>
      </c>
      <c r="D11" s="129" t="s">
        <v>106</v>
      </c>
      <c r="E11" s="130">
        <f ca="1" t="shared" si="0"/>
        <v>4.086927</v>
      </c>
      <c r="F11" s="131"/>
      <c r="G11" s="105">
        <f>6-0.48</f>
        <v>5.52</v>
      </c>
      <c r="H11" s="136"/>
    </row>
    <row r="12" s="105" customFormat="1" customHeight="1" spans="1:7">
      <c r="A12" s="135"/>
      <c r="B12" s="133" t="s">
        <v>107</v>
      </c>
      <c r="C12" s="132" t="s">
        <v>98</v>
      </c>
      <c r="D12" s="129" t="s">
        <v>108</v>
      </c>
      <c r="E12" s="130">
        <f ca="1" t="shared" si="0"/>
        <v>0.9216</v>
      </c>
      <c r="F12" s="131"/>
      <c r="G12" s="105">
        <f>5.5-0.48</f>
        <v>5.02</v>
      </c>
    </row>
    <row r="13" s="105" customFormat="1" customHeight="1" spans="1:6">
      <c r="A13" s="135"/>
      <c r="B13" s="133" t="s">
        <v>109</v>
      </c>
      <c r="C13" s="132" t="s">
        <v>98</v>
      </c>
      <c r="D13" s="129" t="s">
        <v>110</v>
      </c>
      <c r="E13" s="130">
        <f ca="1" t="shared" si="0"/>
        <v>16.39776</v>
      </c>
      <c r="F13" s="131"/>
    </row>
    <row r="14" s="105" customFormat="1" customHeight="1" spans="1:6">
      <c r="A14" s="132">
        <v>5</v>
      </c>
      <c r="B14" s="133" t="s">
        <v>111</v>
      </c>
      <c r="C14" s="132" t="s">
        <v>98</v>
      </c>
      <c r="D14" s="129">
        <v>0</v>
      </c>
      <c r="E14" s="130">
        <f ca="1" t="shared" si="0"/>
        <v>0</v>
      </c>
      <c r="F14" s="131"/>
    </row>
    <row r="15" s="105" customFormat="1" ht="24" spans="1:9">
      <c r="A15" s="132">
        <v>6</v>
      </c>
      <c r="B15" s="133" t="s">
        <v>112</v>
      </c>
      <c r="C15" s="132" t="s">
        <v>113</v>
      </c>
      <c r="D15" s="129" t="s">
        <v>114</v>
      </c>
      <c r="E15" s="130">
        <f ca="1" t="shared" si="0"/>
        <v>176.3003</v>
      </c>
      <c r="F15" s="131"/>
      <c r="H15" s="105">
        <v>1.24</v>
      </c>
      <c r="I15" s="105">
        <v>1.19</v>
      </c>
    </row>
    <row r="16" s="105" customFormat="1" customHeight="1" spans="1:9">
      <c r="A16" s="132">
        <v>7</v>
      </c>
      <c r="B16" s="133" t="s">
        <v>115</v>
      </c>
      <c r="C16" s="132" t="s">
        <v>116</v>
      </c>
      <c r="D16" s="137"/>
      <c r="E16" s="130">
        <f ca="1">SUM(E17:E20)</f>
        <v>1407.54412</v>
      </c>
      <c r="F16" s="131"/>
      <c r="G16" s="105" t="s">
        <v>117</v>
      </c>
      <c r="H16" s="105">
        <f>1.27/0.15</f>
        <v>8.46666666666667</v>
      </c>
      <c r="I16" s="105">
        <f>1.23/0.15</f>
        <v>8.2</v>
      </c>
    </row>
    <row r="17" s="105" customFormat="1" customHeight="1" spans="1:8">
      <c r="A17" s="132"/>
      <c r="B17" s="133" t="s">
        <v>118</v>
      </c>
      <c r="C17" s="132" t="s">
        <v>116</v>
      </c>
      <c r="D17" s="138" t="s">
        <v>119</v>
      </c>
      <c r="E17" s="130">
        <f ca="1">EVALUATE(D17)</f>
        <v>371.44152</v>
      </c>
      <c r="F17" s="131"/>
      <c r="G17" s="105">
        <f>6/0.15</f>
        <v>40</v>
      </c>
      <c r="H17" s="105">
        <f>5.5/0.15</f>
        <v>36.6666666666667</v>
      </c>
    </row>
    <row r="18" s="105" customFormat="1" customHeight="1" spans="1:8">
      <c r="A18" s="132"/>
      <c r="B18" s="133" t="s">
        <v>120</v>
      </c>
      <c r="C18" s="132" t="s">
        <v>116</v>
      </c>
      <c r="D18" s="138" t="s">
        <v>121</v>
      </c>
      <c r="E18" s="130">
        <f ca="1" t="shared" ref="E18:E33" si="1">EVALUATE(D18)</f>
        <v>342.702</v>
      </c>
      <c r="F18" s="131"/>
      <c r="G18" s="105">
        <f>6.2/0.15</f>
        <v>41.3333333333333</v>
      </c>
      <c r="H18" s="105">
        <f>5.7/0.15</f>
        <v>38</v>
      </c>
    </row>
    <row r="19" s="105" customFormat="1" customHeight="1" spans="1:11">
      <c r="A19" s="132"/>
      <c r="B19" s="133" t="s">
        <v>122</v>
      </c>
      <c r="C19" s="132" t="s">
        <v>116</v>
      </c>
      <c r="D19" s="138" t="s">
        <v>123</v>
      </c>
      <c r="E19" s="130">
        <f ca="1" t="shared" si="1"/>
        <v>53.6854</v>
      </c>
      <c r="F19" s="131"/>
      <c r="G19" s="105">
        <f>(6+5.5-0.24*4-0.3/0.2)</f>
        <v>9.04</v>
      </c>
      <c r="H19" s="105">
        <f>(0.3-0.025*2+0.3-0.025*2)*2+11.9*0.008+8*0.008</f>
        <v>1.1592</v>
      </c>
      <c r="I19" s="145" t="s">
        <v>124</v>
      </c>
      <c r="J19" s="145" t="s">
        <v>125</v>
      </c>
      <c r="K19" s="145" t="s">
        <v>126</v>
      </c>
    </row>
    <row r="20" s="105" customFormat="1" customHeight="1" spans="1:11">
      <c r="A20" s="132"/>
      <c r="B20" s="133" t="s">
        <v>127</v>
      </c>
      <c r="C20" s="132" t="s">
        <v>116</v>
      </c>
      <c r="D20" s="138" t="s">
        <v>128</v>
      </c>
      <c r="E20" s="130">
        <f ca="1" t="shared" si="1"/>
        <v>639.7152</v>
      </c>
      <c r="F20" s="131"/>
      <c r="I20" s="145">
        <v>6</v>
      </c>
      <c r="J20" s="145">
        <v>5.5</v>
      </c>
      <c r="K20" s="145">
        <v>3.1</v>
      </c>
    </row>
    <row r="21" s="105" customFormat="1" customHeight="1" spans="1:6">
      <c r="A21" s="132">
        <v>8</v>
      </c>
      <c r="B21" s="133" t="s">
        <v>129</v>
      </c>
      <c r="C21" s="132" t="s">
        <v>113</v>
      </c>
      <c r="D21" s="129">
        <v>0</v>
      </c>
      <c r="E21" s="130">
        <f ca="1" t="shared" si="1"/>
        <v>0</v>
      </c>
      <c r="F21" s="139" t="s">
        <v>130</v>
      </c>
    </row>
    <row r="22" s="105" customFormat="1" customHeight="1" spans="1:6">
      <c r="A22" s="132">
        <v>9</v>
      </c>
      <c r="B22" s="133" t="s">
        <v>131</v>
      </c>
      <c r="C22" s="132" t="s">
        <v>113</v>
      </c>
      <c r="D22" s="129" t="s">
        <v>132</v>
      </c>
      <c r="E22" s="130">
        <f ca="1" t="shared" si="1"/>
        <v>20.71</v>
      </c>
      <c r="F22" s="131"/>
    </row>
    <row r="23" s="105" customFormat="1" customHeight="1" spans="1:6">
      <c r="A23" s="132">
        <v>10</v>
      </c>
      <c r="B23" s="133" t="s">
        <v>133</v>
      </c>
      <c r="C23" s="132" t="s">
        <v>134</v>
      </c>
      <c r="D23" s="129">
        <v>0</v>
      </c>
      <c r="E23" s="130">
        <f ca="1" t="shared" si="1"/>
        <v>0</v>
      </c>
      <c r="F23" s="131"/>
    </row>
    <row r="24" s="105" customFormat="1" customHeight="1" spans="1:11">
      <c r="A24" s="132">
        <v>11</v>
      </c>
      <c r="B24" s="133" t="s">
        <v>135</v>
      </c>
      <c r="C24" s="132" t="s">
        <v>136</v>
      </c>
      <c r="D24" s="129">
        <v>1</v>
      </c>
      <c r="E24" s="130">
        <f ca="1" t="shared" si="1"/>
        <v>1</v>
      </c>
      <c r="F24" s="131"/>
      <c r="I24" s="105">
        <f t="shared" ref="I24:K24" si="2">I20/0.2</f>
        <v>30</v>
      </c>
      <c r="J24" s="105">
        <f t="shared" si="2"/>
        <v>27.5</v>
      </c>
      <c r="K24" s="105">
        <f t="shared" si="2"/>
        <v>15.5</v>
      </c>
    </row>
    <row r="25" s="105" customFormat="1" customHeight="1" spans="1:6">
      <c r="A25" s="132">
        <v>12</v>
      </c>
      <c r="B25" s="133" t="s">
        <v>137</v>
      </c>
      <c r="C25" s="132" t="s">
        <v>138</v>
      </c>
      <c r="D25" s="129">
        <v>150</v>
      </c>
      <c r="E25" s="130">
        <f ca="1" t="shared" si="1"/>
        <v>150</v>
      </c>
      <c r="F25" s="131"/>
    </row>
    <row r="26" s="105" customFormat="1" customHeight="1" spans="1:6">
      <c r="A26" s="132">
        <v>13</v>
      </c>
      <c r="B26" s="133" t="s">
        <v>139</v>
      </c>
      <c r="C26" s="132" t="s">
        <v>140</v>
      </c>
      <c r="D26" s="129">
        <v>1</v>
      </c>
      <c r="E26" s="130">
        <f ca="1" t="shared" si="1"/>
        <v>1</v>
      </c>
      <c r="F26" s="131"/>
    </row>
    <row r="27" s="105" customFormat="1" customHeight="1" spans="1:6">
      <c r="A27" s="132">
        <v>14</v>
      </c>
      <c r="B27" s="133" t="s">
        <v>141</v>
      </c>
      <c r="C27" s="132" t="s">
        <v>140</v>
      </c>
      <c r="D27" s="129">
        <v>0</v>
      </c>
      <c r="E27" s="130">
        <f ca="1" t="shared" si="1"/>
        <v>0</v>
      </c>
      <c r="F27" s="131"/>
    </row>
    <row r="28" s="105" customFormat="1" customHeight="1" spans="1:6">
      <c r="A28" s="132">
        <v>15</v>
      </c>
      <c r="B28" s="133" t="s">
        <v>142</v>
      </c>
      <c r="C28" s="132" t="s">
        <v>140</v>
      </c>
      <c r="D28" s="129">
        <v>1</v>
      </c>
      <c r="E28" s="130">
        <f ca="1" t="shared" si="1"/>
        <v>1</v>
      </c>
      <c r="F28" s="131"/>
    </row>
    <row r="29" s="105" customFormat="1" customHeight="1" spans="1:9">
      <c r="A29" s="132" t="s">
        <v>35</v>
      </c>
      <c r="B29" s="133" t="s">
        <v>143</v>
      </c>
      <c r="C29" s="132" t="s">
        <v>98</v>
      </c>
      <c r="D29" s="129" t="s">
        <v>144</v>
      </c>
      <c r="E29" s="130">
        <f ca="1" t="shared" si="1"/>
        <v>1.767</v>
      </c>
      <c r="F29" s="131"/>
      <c r="I29" s="136"/>
    </row>
    <row r="30" s="105" customFormat="1" customHeight="1" spans="1:6">
      <c r="A30" s="132" t="s">
        <v>35</v>
      </c>
      <c r="B30" s="133" t="s">
        <v>145</v>
      </c>
      <c r="C30" s="132" t="s">
        <v>146</v>
      </c>
      <c r="D30" s="129">
        <v>9</v>
      </c>
      <c r="E30" s="130">
        <f ca="1" t="shared" si="1"/>
        <v>9</v>
      </c>
      <c r="F30" s="131"/>
    </row>
    <row r="31" s="106" customFormat="1" customHeight="1" spans="1:6">
      <c r="A31" s="132" t="s">
        <v>35</v>
      </c>
      <c r="B31" s="133" t="s">
        <v>147</v>
      </c>
      <c r="C31" s="132" t="s">
        <v>113</v>
      </c>
      <c r="D31" s="140" t="s">
        <v>148</v>
      </c>
      <c r="E31" s="130">
        <f ca="1" t="shared" si="1"/>
        <v>0</v>
      </c>
      <c r="F31" s="141"/>
    </row>
    <row r="32" s="105" customFormat="1" customHeight="1" spans="1:9">
      <c r="A32" s="132" t="s">
        <v>35</v>
      </c>
      <c r="B32" s="133" t="s">
        <v>149</v>
      </c>
      <c r="C32" s="132" t="s">
        <v>113</v>
      </c>
      <c r="D32" s="129" t="s">
        <v>150</v>
      </c>
      <c r="E32" s="130">
        <f ca="1" t="shared" si="1"/>
        <v>34.5</v>
      </c>
      <c r="F32" s="131"/>
      <c r="H32" s="105">
        <f>5.15-2.25</f>
        <v>2.9</v>
      </c>
      <c r="I32" s="105">
        <f>0.7+2.35</f>
        <v>3.05</v>
      </c>
    </row>
    <row r="33" customHeight="1" spans="1:6">
      <c r="A33" s="132" t="s">
        <v>35</v>
      </c>
      <c r="B33" s="133" t="s">
        <v>151</v>
      </c>
      <c r="C33" s="132" t="s">
        <v>96</v>
      </c>
      <c r="D33" s="129">
        <v>1</v>
      </c>
      <c r="E33" s="130">
        <f ca="1" t="shared" si="1"/>
        <v>1</v>
      </c>
      <c r="F33" s="131"/>
    </row>
    <row r="34" s="105" customFormat="1" customHeight="1" spans="1:10">
      <c r="A34" s="118" t="s">
        <v>152</v>
      </c>
      <c r="B34" s="128" t="s">
        <v>153</v>
      </c>
      <c r="C34" s="118" t="s">
        <v>96</v>
      </c>
      <c r="D34" s="129"/>
      <c r="E34" s="130"/>
      <c r="F34" s="131"/>
      <c r="J34" s="136"/>
    </row>
    <row r="35" s="105" customFormat="1" customHeight="1" spans="1:6">
      <c r="A35" s="132">
        <v>1</v>
      </c>
      <c r="B35" s="133" t="s">
        <v>97</v>
      </c>
      <c r="C35" s="132" t="s">
        <v>98</v>
      </c>
      <c r="D35" s="129" t="s">
        <v>154</v>
      </c>
      <c r="E35" s="130">
        <f ca="1" t="shared" ref="E35:E44" si="3">EVALUATE(D35)</f>
        <v>2.646</v>
      </c>
      <c r="F35" s="131"/>
    </row>
    <row r="36" s="105" customFormat="1" customHeight="1" spans="1:6">
      <c r="A36" s="132">
        <v>2</v>
      </c>
      <c r="B36" s="133" t="s">
        <v>155</v>
      </c>
      <c r="C36" s="132" t="s">
        <v>98</v>
      </c>
      <c r="D36" s="105" t="s">
        <v>156</v>
      </c>
      <c r="E36" s="130">
        <f ca="1" t="shared" si="3"/>
        <v>0.34</v>
      </c>
      <c r="F36" s="131"/>
    </row>
    <row r="37" s="105" customFormat="1" customHeight="1" spans="1:7">
      <c r="A37" s="132">
        <v>3</v>
      </c>
      <c r="B37" s="133" t="s">
        <v>157</v>
      </c>
      <c r="C37" s="132" t="s">
        <v>98</v>
      </c>
      <c r="D37" s="129" t="s">
        <v>158</v>
      </c>
      <c r="E37" s="130">
        <f ca="1" t="shared" si="3"/>
        <v>0.034</v>
      </c>
      <c r="F37" s="131"/>
      <c r="G37" s="105">
        <f>1.68/0.15</f>
        <v>11.2</v>
      </c>
    </row>
    <row r="38" s="105" customFormat="1" customHeight="1" spans="1:6">
      <c r="A38" s="132">
        <v>4</v>
      </c>
      <c r="B38" s="133" t="s">
        <v>159</v>
      </c>
      <c r="C38" s="132" t="s">
        <v>98</v>
      </c>
      <c r="D38" s="129" t="s">
        <v>160</v>
      </c>
      <c r="E38" s="130">
        <f ca="1" t="shared" si="3"/>
        <v>1.5456</v>
      </c>
      <c r="F38" s="131"/>
    </row>
    <row r="39" s="105" customFormat="1" customHeight="1" spans="1:9">
      <c r="A39" s="132">
        <v>5</v>
      </c>
      <c r="B39" s="133" t="s">
        <v>112</v>
      </c>
      <c r="C39" s="132" t="s">
        <v>113</v>
      </c>
      <c r="D39" s="129">
        <v>2.54</v>
      </c>
      <c r="E39" s="130">
        <f ca="1" t="shared" si="3"/>
        <v>2.54</v>
      </c>
      <c r="F39" s="131"/>
      <c r="G39" s="105">
        <f>(2+1.7-0.48)*2*1</f>
        <v>6.44</v>
      </c>
      <c r="I39" s="136"/>
    </row>
    <row r="40" s="105" customFormat="1" customHeight="1" spans="1:9">
      <c r="A40" s="132">
        <v>6</v>
      </c>
      <c r="B40" s="133" t="s">
        <v>115</v>
      </c>
      <c r="C40" s="132" t="s">
        <v>116</v>
      </c>
      <c r="D40" s="129" t="s">
        <v>161</v>
      </c>
      <c r="E40" s="130">
        <f ca="1" t="shared" si="3"/>
        <v>18.2648</v>
      </c>
      <c r="F40" s="131"/>
      <c r="G40" s="105">
        <f>1.98/0.15</f>
        <v>13.2</v>
      </c>
      <c r="I40" s="144"/>
    </row>
    <row r="41" s="107" customFormat="1" customHeight="1" spans="1:6">
      <c r="A41" s="132">
        <v>7</v>
      </c>
      <c r="B41" s="133" t="s">
        <v>129</v>
      </c>
      <c r="C41" s="132" t="s">
        <v>113</v>
      </c>
      <c r="D41" s="129" t="s">
        <v>162</v>
      </c>
      <c r="E41" s="130">
        <f ca="1" t="shared" si="3"/>
        <v>7.776</v>
      </c>
      <c r="F41" s="142"/>
    </row>
    <row r="42" s="105" customFormat="1" customHeight="1" spans="1:9">
      <c r="A42" s="132">
        <v>8</v>
      </c>
      <c r="B42" s="133" t="s">
        <v>163</v>
      </c>
      <c r="C42" s="132" t="s">
        <v>98</v>
      </c>
      <c r="D42" s="129" t="s">
        <v>164</v>
      </c>
      <c r="E42" s="130">
        <f ca="1" t="shared" si="3"/>
        <v>1.48352</v>
      </c>
      <c r="F42" s="131"/>
      <c r="G42" s="105">
        <f>2-0.48</f>
        <v>1.52</v>
      </c>
      <c r="I42" s="136"/>
    </row>
    <row r="43" s="105" customFormat="1" customHeight="1" spans="1:6">
      <c r="A43" s="132" t="s">
        <v>35</v>
      </c>
      <c r="B43" s="133" t="s">
        <v>100</v>
      </c>
      <c r="C43" s="132" t="s">
        <v>98</v>
      </c>
      <c r="D43" s="129" t="s">
        <v>165</v>
      </c>
      <c r="E43" s="130">
        <f ca="1" t="shared" si="3"/>
        <v>1.134</v>
      </c>
      <c r="F43" s="131"/>
    </row>
    <row r="44" s="105" customFormat="1" customHeight="1" spans="1:6">
      <c r="A44" s="132" t="s">
        <v>35</v>
      </c>
      <c r="B44" s="133" t="s">
        <v>102</v>
      </c>
      <c r="C44" s="132" t="s">
        <v>98</v>
      </c>
      <c r="D44" s="129" t="s">
        <v>166</v>
      </c>
      <c r="E44" s="130">
        <f ca="1" t="shared" si="3"/>
        <v>2.34</v>
      </c>
      <c r="F44" s="131"/>
    </row>
    <row r="45" customHeight="1" spans="1:6">
      <c r="A45" s="118" t="s">
        <v>167</v>
      </c>
      <c r="B45" s="128" t="s">
        <v>168</v>
      </c>
      <c r="C45" s="118"/>
      <c r="D45" s="129"/>
      <c r="E45" s="130"/>
      <c r="F45" s="131"/>
    </row>
    <row r="46" customHeight="1" spans="1:6">
      <c r="A46" s="132">
        <v>1</v>
      </c>
      <c r="B46" s="133" t="s">
        <v>169</v>
      </c>
      <c r="C46" s="132" t="s">
        <v>98</v>
      </c>
      <c r="D46" s="129">
        <v>0</v>
      </c>
      <c r="E46" s="130">
        <f ca="1" t="shared" ref="E46:E52" si="4">EVALUATE(D46)</f>
        <v>0</v>
      </c>
      <c r="F46" s="131"/>
    </row>
    <row r="47" customHeight="1" spans="1:6">
      <c r="A47" s="132">
        <v>2</v>
      </c>
      <c r="B47" s="133" t="s">
        <v>170</v>
      </c>
      <c r="C47" s="132" t="s">
        <v>98</v>
      </c>
      <c r="D47" s="129">
        <v>0</v>
      </c>
      <c r="E47" s="130">
        <f ca="1" t="shared" si="4"/>
        <v>0</v>
      </c>
      <c r="F47" s="131"/>
    </row>
    <row r="48" customHeight="1" spans="1:6">
      <c r="A48" s="132">
        <v>3</v>
      </c>
      <c r="B48" s="133" t="s">
        <v>115</v>
      </c>
      <c r="C48" s="132" t="s">
        <v>116</v>
      </c>
      <c r="D48" s="129">
        <v>0</v>
      </c>
      <c r="E48" s="130">
        <f ca="1" t="shared" si="4"/>
        <v>0</v>
      </c>
      <c r="F48" s="131"/>
    </row>
    <row r="49" customHeight="1" spans="1:6">
      <c r="A49" s="132">
        <v>4</v>
      </c>
      <c r="B49" s="133" t="s">
        <v>171</v>
      </c>
      <c r="C49" s="132" t="s">
        <v>98</v>
      </c>
      <c r="D49" s="129">
        <v>0</v>
      </c>
      <c r="E49" s="130">
        <f ca="1" t="shared" si="4"/>
        <v>0</v>
      </c>
      <c r="F49" s="131"/>
    </row>
    <row r="50" customHeight="1" spans="1:6">
      <c r="A50" s="132">
        <v>5</v>
      </c>
      <c r="B50" s="133" t="s">
        <v>172</v>
      </c>
      <c r="C50" s="132" t="s">
        <v>113</v>
      </c>
      <c r="D50" s="129">
        <v>0</v>
      </c>
      <c r="E50" s="130">
        <f ca="1" t="shared" si="4"/>
        <v>0</v>
      </c>
      <c r="F50" s="131"/>
    </row>
    <row r="51" customHeight="1" spans="1:6">
      <c r="A51" s="132">
        <v>6</v>
      </c>
      <c r="B51" s="133" t="s">
        <v>173</v>
      </c>
      <c r="C51" s="132" t="s">
        <v>113</v>
      </c>
      <c r="D51" s="129">
        <v>0</v>
      </c>
      <c r="E51" s="130">
        <f ca="1" t="shared" si="4"/>
        <v>0</v>
      </c>
      <c r="F51" s="131"/>
    </row>
    <row r="52" customHeight="1" spans="1:6">
      <c r="A52" s="132">
        <v>7</v>
      </c>
      <c r="B52" s="133" t="s">
        <v>174</v>
      </c>
      <c r="C52" s="132" t="s">
        <v>113</v>
      </c>
      <c r="D52" s="129">
        <v>0</v>
      </c>
      <c r="E52" s="130">
        <f ca="1" t="shared" si="4"/>
        <v>0</v>
      </c>
      <c r="F52" s="122"/>
    </row>
    <row r="53" customHeight="1" spans="1:6">
      <c r="A53" s="118" t="s">
        <v>175</v>
      </c>
      <c r="B53" s="128" t="s">
        <v>176</v>
      </c>
      <c r="C53" s="118" t="s">
        <v>96</v>
      </c>
      <c r="D53" s="129"/>
      <c r="E53" s="130"/>
      <c r="F53" s="131" t="s">
        <v>177</v>
      </c>
    </row>
    <row r="54" customHeight="1" spans="1:6">
      <c r="A54" s="132">
        <v>1</v>
      </c>
      <c r="B54" s="133" t="s">
        <v>97</v>
      </c>
      <c r="C54" s="132" t="s">
        <v>98</v>
      </c>
      <c r="D54" s="129" t="s">
        <v>178</v>
      </c>
      <c r="E54" s="130">
        <f ca="1" t="shared" ref="E54:E62" si="5">EVALUATE(D54)</f>
        <v>2.4624</v>
      </c>
      <c r="F54" s="131"/>
    </row>
    <row r="55" customHeight="1" spans="1:6">
      <c r="A55" s="132">
        <v>2</v>
      </c>
      <c r="B55" s="133" t="s">
        <v>100</v>
      </c>
      <c r="C55" s="132" t="s">
        <v>98</v>
      </c>
      <c r="D55" s="129" t="s">
        <v>179</v>
      </c>
      <c r="E55" s="130">
        <f ca="1" t="shared" si="5"/>
        <v>1.6416</v>
      </c>
      <c r="F55" s="131"/>
    </row>
    <row r="56" customHeight="1" spans="1:6">
      <c r="A56" s="132">
        <v>3</v>
      </c>
      <c r="B56" s="133" t="s">
        <v>102</v>
      </c>
      <c r="C56" s="132" t="s">
        <v>98</v>
      </c>
      <c r="D56" s="129" t="s">
        <v>180</v>
      </c>
      <c r="E56" s="130">
        <f ca="1" t="shared" si="5"/>
        <v>0.77</v>
      </c>
      <c r="F56" s="131"/>
    </row>
    <row r="57" customHeight="1" spans="1:6">
      <c r="A57" s="132">
        <v>4</v>
      </c>
      <c r="B57" s="133" t="s">
        <v>155</v>
      </c>
      <c r="C57" s="132" t="s">
        <v>98</v>
      </c>
      <c r="D57" s="129" t="s">
        <v>181</v>
      </c>
      <c r="E57" s="130">
        <f ca="1" t="shared" si="5"/>
        <v>0.408</v>
      </c>
      <c r="F57" s="131"/>
    </row>
    <row r="58" customHeight="1" spans="1:6">
      <c r="A58" s="132">
        <v>5</v>
      </c>
      <c r="B58" s="133" t="s">
        <v>171</v>
      </c>
      <c r="C58" s="132" t="s">
        <v>98</v>
      </c>
      <c r="D58" s="129" t="s">
        <v>182</v>
      </c>
      <c r="E58" s="130">
        <f ca="1" t="shared" si="5"/>
        <v>1.3536</v>
      </c>
      <c r="F58" s="131"/>
    </row>
    <row r="59" customHeight="1" spans="1:6">
      <c r="A59" s="132">
        <v>6</v>
      </c>
      <c r="B59" s="133" t="s">
        <v>129</v>
      </c>
      <c r="C59" s="132" t="s">
        <v>113</v>
      </c>
      <c r="D59" s="129" t="s">
        <v>183</v>
      </c>
      <c r="E59" s="130">
        <f ca="1" t="shared" si="5"/>
        <v>7.2072</v>
      </c>
      <c r="F59" s="131"/>
    </row>
    <row r="60" customHeight="1" spans="1:6">
      <c r="A60" s="132" t="s">
        <v>35</v>
      </c>
      <c r="B60" s="133" t="s">
        <v>157</v>
      </c>
      <c r="C60" s="132" t="s">
        <v>98</v>
      </c>
      <c r="D60" s="129" t="s">
        <v>184</v>
      </c>
      <c r="E60" s="130">
        <f ca="1" t="shared" si="5"/>
        <v>0.1496</v>
      </c>
      <c r="F60" s="131"/>
    </row>
    <row r="61" customHeight="1" spans="1:6">
      <c r="A61" s="132" t="s">
        <v>35</v>
      </c>
      <c r="B61" s="133" t="s">
        <v>112</v>
      </c>
      <c r="C61" s="132" t="s">
        <v>113</v>
      </c>
      <c r="D61" s="129" t="s">
        <v>185</v>
      </c>
      <c r="E61" s="130">
        <f ca="1" t="shared" si="5"/>
        <v>0.363</v>
      </c>
      <c r="F61" s="131"/>
    </row>
    <row r="62" customHeight="1" spans="1:8">
      <c r="A62" s="132" t="s">
        <v>35</v>
      </c>
      <c r="B62" s="133" t="s">
        <v>115</v>
      </c>
      <c r="C62" s="132" t="s">
        <v>116</v>
      </c>
      <c r="D62" s="129" t="s">
        <v>186</v>
      </c>
      <c r="E62" s="143">
        <f ca="1" t="shared" si="5"/>
        <v>29.2142</v>
      </c>
      <c r="F62" s="131"/>
      <c r="G62" s="104">
        <f>1.6/0.15</f>
        <v>10.6666666666667</v>
      </c>
      <c r="H62" s="104">
        <f>1.7/0.15</f>
        <v>11.3333333333333</v>
      </c>
    </row>
    <row r="63" customHeight="1" spans="1:6">
      <c r="A63" s="118" t="s">
        <v>35</v>
      </c>
      <c r="B63" s="128" t="s">
        <v>187</v>
      </c>
      <c r="C63" s="118" t="s">
        <v>96</v>
      </c>
      <c r="D63" s="129"/>
      <c r="E63" s="130"/>
      <c r="F63" s="131"/>
    </row>
    <row r="64" customHeight="1" spans="1:6">
      <c r="A64" s="132">
        <v>1</v>
      </c>
      <c r="B64" s="133" t="s">
        <v>97</v>
      </c>
      <c r="C64" s="132" t="s">
        <v>98</v>
      </c>
      <c r="D64" s="129" t="s">
        <v>188</v>
      </c>
      <c r="E64" s="130">
        <f ca="1" t="shared" ref="E64:E77" si="6">EVALUATE(D64)</f>
        <v>61.23</v>
      </c>
      <c r="F64" s="131"/>
    </row>
    <row r="65" customHeight="1" spans="1:8">
      <c r="A65" s="134">
        <v>2</v>
      </c>
      <c r="B65" s="146" t="s">
        <v>189</v>
      </c>
      <c r="C65" s="132" t="s">
        <v>98</v>
      </c>
      <c r="D65" s="129">
        <f ca="1">E66+E67</f>
        <v>16.27973725</v>
      </c>
      <c r="E65" s="130">
        <f ca="1" t="shared" si="6"/>
        <v>16.27973725</v>
      </c>
      <c r="F65" s="131"/>
      <c r="G65" s="104">
        <f>2.5+4.45+4.63</f>
        <v>11.58</v>
      </c>
      <c r="H65" s="104">
        <f>7.5+4.5</f>
        <v>12</v>
      </c>
    </row>
    <row r="66" customHeight="1" spans="1:7">
      <c r="A66" s="135"/>
      <c r="B66" s="147"/>
      <c r="C66" s="132" t="s">
        <v>98</v>
      </c>
      <c r="D66" s="129" t="s">
        <v>190</v>
      </c>
      <c r="E66" s="130">
        <f ca="1" t="shared" si="6"/>
        <v>11.13025125</v>
      </c>
      <c r="F66" s="131"/>
      <c r="G66" s="104">
        <f>2.5+4.45</f>
        <v>6.95</v>
      </c>
    </row>
    <row r="67" customHeight="1" spans="1:6">
      <c r="A67" s="148"/>
      <c r="B67" s="149"/>
      <c r="C67" s="132" t="s">
        <v>98</v>
      </c>
      <c r="D67" s="129" t="s">
        <v>191</v>
      </c>
      <c r="E67" s="130">
        <f ca="1" t="shared" si="6"/>
        <v>5.149486</v>
      </c>
      <c r="F67" s="131"/>
    </row>
    <row r="68" customHeight="1" spans="1:6">
      <c r="A68" s="132">
        <v>3</v>
      </c>
      <c r="B68" s="133" t="s">
        <v>192</v>
      </c>
      <c r="C68" s="132" t="s">
        <v>98</v>
      </c>
      <c r="D68" s="129" t="s">
        <v>193</v>
      </c>
      <c r="E68" s="130">
        <f ca="1" t="shared" si="6"/>
        <v>8.0896</v>
      </c>
      <c r="F68" s="131"/>
    </row>
    <row r="69" customHeight="1" spans="1:6">
      <c r="A69" s="132">
        <v>4</v>
      </c>
      <c r="B69" s="133" t="s">
        <v>194</v>
      </c>
      <c r="C69" s="132" t="s">
        <v>98</v>
      </c>
      <c r="D69" s="129" t="s">
        <v>195</v>
      </c>
      <c r="E69" s="130">
        <f ca="1" t="shared" si="6"/>
        <v>1.21344</v>
      </c>
      <c r="F69" s="131"/>
    </row>
    <row r="70" customHeight="1" spans="1:6">
      <c r="A70" s="132">
        <v>5</v>
      </c>
      <c r="B70" s="133" t="s">
        <v>129</v>
      </c>
      <c r="C70" s="132" t="s">
        <v>113</v>
      </c>
      <c r="D70" s="129" t="s">
        <v>196</v>
      </c>
      <c r="E70" s="130">
        <f ca="1" t="shared" si="6"/>
        <v>9.638</v>
      </c>
      <c r="F70" s="131"/>
    </row>
    <row r="71" customHeight="1" spans="1:6">
      <c r="A71" s="132">
        <v>6</v>
      </c>
      <c r="B71" s="133" t="s">
        <v>102</v>
      </c>
      <c r="C71" s="132" t="s">
        <v>98</v>
      </c>
      <c r="D71" s="129" t="s">
        <v>197</v>
      </c>
      <c r="E71" s="130">
        <f ca="1" t="shared" si="6"/>
        <v>72.63</v>
      </c>
      <c r="F71" s="131"/>
    </row>
    <row r="72" customHeight="1" spans="1:6">
      <c r="A72" s="134">
        <v>7</v>
      </c>
      <c r="B72" s="146" t="s">
        <v>198</v>
      </c>
      <c r="C72" s="132" t="s">
        <v>98</v>
      </c>
      <c r="D72" s="129">
        <f ca="1">E73+E74+E75</f>
        <v>1.78275</v>
      </c>
      <c r="E72" s="130">
        <f ca="1" t="shared" si="6"/>
        <v>1.78275</v>
      </c>
      <c r="F72" s="131"/>
    </row>
    <row r="73" customHeight="1" spans="1:6">
      <c r="A73" s="135"/>
      <c r="B73" s="147"/>
      <c r="C73" s="132" t="s">
        <v>98</v>
      </c>
      <c r="D73" s="129" t="s">
        <v>199</v>
      </c>
      <c r="E73" s="130">
        <f ca="1" t="shared" si="6"/>
        <v>0.31875</v>
      </c>
      <c r="F73" s="131"/>
    </row>
    <row r="74" customHeight="1" spans="1:6">
      <c r="A74" s="135"/>
      <c r="B74" s="147"/>
      <c r="C74" s="132" t="s">
        <v>98</v>
      </c>
      <c r="D74" s="129" t="s">
        <v>200</v>
      </c>
      <c r="E74" s="130">
        <f ca="1" t="shared" si="6"/>
        <v>0.9632</v>
      </c>
      <c r="F74" s="131"/>
    </row>
    <row r="75" customHeight="1" spans="1:6">
      <c r="A75" s="148"/>
      <c r="B75" s="149"/>
      <c r="C75" s="132" t="s">
        <v>98</v>
      </c>
      <c r="D75" s="129" t="s">
        <v>201</v>
      </c>
      <c r="E75" s="130">
        <f ca="1" t="shared" si="6"/>
        <v>0.5008</v>
      </c>
      <c r="F75" s="131"/>
    </row>
    <row r="76" customHeight="1" spans="1:6">
      <c r="A76" s="132">
        <v>8</v>
      </c>
      <c r="B76" s="133" t="s">
        <v>202</v>
      </c>
      <c r="C76" s="132" t="s">
        <v>98</v>
      </c>
      <c r="D76" s="129" t="s">
        <v>203</v>
      </c>
      <c r="E76" s="130">
        <f ca="1" t="shared" si="6"/>
        <v>1.119</v>
      </c>
      <c r="F76" s="131"/>
    </row>
    <row r="77" ht="24" spans="1:6">
      <c r="A77" s="132">
        <v>9</v>
      </c>
      <c r="B77" s="133" t="s">
        <v>112</v>
      </c>
      <c r="C77" s="132" t="s">
        <v>113</v>
      </c>
      <c r="D77" s="129" t="s">
        <v>204</v>
      </c>
      <c r="E77" s="130">
        <f ca="1" t="shared" si="6"/>
        <v>42.0239</v>
      </c>
      <c r="F77" s="131"/>
    </row>
    <row r="78" customHeight="1" spans="1:6">
      <c r="A78" s="118" t="s">
        <v>205</v>
      </c>
      <c r="B78" s="128" t="s">
        <v>206</v>
      </c>
      <c r="C78" s="118" t="s">
        <v>0</v>
      </c>
      <c r="D78" s="129"/>
      <c r="E78" s="130"/>
      <c r="F78" s="131"/>
    </row>
    <row r="79" customHeight="1" spans="1:6">
      <c r="A79" s="132">
        <v>1</v>
      </c>
      <c r="B79" s="133" t="s">
        <v>207</v>
      </c>
      <c r="C79" s="132" t="s">
        <v>57</v>
      </c>
      <c r="D79" s="129"/>
      <c r="E79" s="130"/>
      <c r="F79" s="131"/>
    </row>
    <row r="80" customHeight="1" spans="1:6">
      <c r="A80" s="132">
        <v>2</v>
      </c>
      <c r="B80" s="133" t="s">
        <v>208</v>
      </c>
      <c r="C80" s="132" t="s">
        <v>57</v>
      </c>
      <c r="D80" s="129">
        <f ca="1">二转材料统计!AG5</f>
        <v>17.6195480710413</v>
      </c>
      <c r="E80" s="130">
        <f ca="1">EVALUATE(D80)</f>
        <v>17.6195480710413</v>
      </c>
      <c r="F80" s="131"/>
    </row>
    <row r="81" customHeight="1" spans="1:6">
      <c r="A81" s="132">
        <v>3</v>
      </c>
      <c r="B81" s="133" t="s">
        <v>209</v>
      </c>
      <c r="C81" s="132" t="s">
        <v>98</v>
      </c>
      <c r="D81" s="129">
        <f ca="1">二转材料统计!AH5</f>
        <v>26.6047188893</v>
      </c>
      <c r="E81" s="130">
        <f ca="1">EVALUATE(D81)</f>
        <v>26.6047188893</v>
      </c>
      <c r="F81" s="131"/>
    </row>
    <row r="82" customHeight="1" spans="1:6">
      <c r="A82" s="132">
        <v>4</v>
      </c>
      <c r="B82" s="133" t="s">
        <v>210</v>
      </c>
      <c r="C82" s="132" t="s">
        <v>98</v>
      </c>
      <c r="D82" s="129">
        <f ca="1">二转材料统计!AI5+E42</f>
        <v>42.05805632505</v>
      </c>
      <c r="E82" s="130">
        <f ca="1">EVALUATE(D82)</f>
        <v>42.05805632505</v>
      </c>
      <c r="F82" s="131"/>
    </row>
    <row r="83" customHeight="1" spans="1:6">
      <c r="A83" s="132">
        <v>5</v>
      </c>
      <c r="B83" s="133" t="s">
        <v>211</v>
      </c>
      <c r="C83" s="132" t="s">
        <v>212</v>
      </c>
      <c r="D83" s="129">
        <f ca="1">二转材料统计!AJ5</f>
        <v>2.19614976</v>
      </c>
      <c r="E83" s="130">
        <f ca="1">EVALUATE(D83)</f>
        <v>2.19614976</v>
      </c>
      <c r="F83" s="131"/>
    </row>
    <row r="84" customHeight="1" spans="1:6">
      <c r="A84" s="132">
        <v>6</v>
      </c>
      <c r="B84" s="133" t="s">
        <v>213</v>
      </c>
      <c r="C84" s="132" t="s">
        <v>57</v>
      </c>
      <c r="D84" s="150">
        <f ca="1">(E40+E16+E62)/1000</f>
        <v>1.45502312</v>
      </c>
      <c r="E84" s="130">
        <f ca="1">EVALUATE(D84)</f>
        <v>1.45502312</v>
      </c>
      <c r="F84" s="131"/>
    </row>
    <row r="85" customHeight="1" spans="1:6">
      <c r="A85" s="123" t="s">
        <v>214</v>
      </c>
      <c r="B85" s="151" t="s">
        <v>215</v>
      </c>
      <c r="C85" s="123" t="s">
        <v>0</v>
      </c>
      <c r="D85" s="125"/>
      <c r="E85" s="152"/>
      <c r="F85" s="153"/>
    </row>
    <row r="86" customHeight="1" spans="1:6">
      <c r="A86" s="118" t="s">
        <v>94</v>
      </c>
      <c r="B86" s="128" t="s">
        <v>95</v>
      </c>
      <c r="C86" s="118" t="s">
        <v>0</v>
      </c>
      <c r="D86" s="129"/>
      <c r="E86" s="130"/>
      <c r="F86" s="131"/>
    </row>
    <row r="87" customHeight="1" spans="1:9">
      <c r="A87" s="118" t="s">
        <v>216</v>
      </c>
      <c r="B87" s="128" t="s">
        <v>217</v>
      </c>
      <c r="C87" s="118" t="s">
        <v>0</v>
      </c>
      <c r="D87" s="129"/>
      <c r="E87" s="130"/>
      <c r="F87" s="131"/>
      <c r="H87" s="104">
        <v>6.62</v>
      </c>
      <c r="I87" s="104">
        <v>4.6</v>
      </c>
    </row>
    <row r="88" customHeight="1" spans="1:9">
      <c r="A88" s="132">
        <v>1</v>
      </c>
      <c r="B88" s="133" t="s">
        <v>97</v>
      </c>
      <c r="C88" s="132" t="s">
        <v>98</v>
      </c>
      <c r="D88" s="129" t="s">
        <v>218</v>
      </c>
      <c r="E88" s="130">
        <f ca="1" t="shared" ref="E88:E96" si="7">EVALUATE(D88)</f>
        <v>58.12224</v>
      </c>
      <c r="F88" s="131"/>
      <c r="G88" s="104" t="s">
        <v>219</v>
      </c>
      <c r="H88" s="104">
        <f>6.62+0.5*2</f>
        <v>7.62</v>
      </c>
      <c r="I88" s="104">
        <f>4.6+0.5*2</f>
        <v>5.6</v>
      </c>
    </row>
    <row r="89" customHeight="1" spans="1:9">
      <c r="A89" s="132">
        <v>2</v>
      </c>
      <c r="B89" s="133" t="s">
        <v>100</v>
      </c>
      <c r="C89" s="132" t="s">
        <v>98</v>
      </c>
      <c r="D89" s="129" t="s">
        <v>220</v>
      </c>
      <c r="E89" s="130">
        <f ca="1" t="shared" si="7"/>
        <v>38.74816</v>
      </c>
      <c r="F89" s="131"/>
      <c r="G89" s="104">
        <f>2.5*0.2</f>
        <v>0.5</v>
      </c>
      <c r="H89" s="104">
        <f>(H87+H88)/2</f>
        <v>7.12</v>
      </c>
      <c r="I89" s="104">
        <f>(I87+I88)/2</f>
        <v>5.1</v>
      </c>
    </row>
    <row r="90" customHeight="1" spans="1:6">
      <c r="A90" s="132">
        <v>3</v>
      </c>
      <c r="B90" s="133" t="s">
        <v>102</v>
      </c>
      <c r="C90" s="132" t="s">
        <v>98</v>
      </c>
      <c r="D90" s="129" t="s">
        <v>221</v>
      </c>
      <c r="E90" s="130">
        <f ca="1" t="shared" si="7"/>
        <v>38.79</v>
      </c>
      <c r="F90" s="131"/>
    </row>
    <row r="91" customHeight="1" spans="1:8">
      <c r="A91" s="134">
        <v>4</v>
      </c>
      <c r="B91" s="133" t="s">
        <v>103</v>
      </c>
      <c r="C91" s="132" t="s">
        <v>98</v>
      </c>
      <c r="D91" s="129" t="s">
        <v>222</v>
      </c>
      <c r="E91" s="130">
        <f ca="1" t="shared" si="7"/>
        <v>3.0452</v>
      </c>
      <c r="F91" s="131"/>
      <c r="G91" s="104">
        <f>6.42-0.48</f>
        <v>5.94</v>
      </c>
      <c r="H91" s="104">
        <f>4.4-0.48</f>
        <v>3.92</v>
      </c>
    </row>
    <row r="92" customHeight="1" spans="1:6">
      <c r="A92" s="135"/>
      <c r="B92" s="133" t="s">
        <v>105</v>
      </c>
      <c r="C92" s="132" t="s">
        <v>98</v>
      </c>
      <c r="D92" s="129" t="s">
        <v>223</v>
      </c>
      <c r="E92" s="130">
        <f ca="1" t="shared" si="7"/>
        <v>3.140928</v>
      </c>
      <c r="F92" s="131"/>
    </row>
    <row r="93" customHeight="1" spans="1:6">
      <c r="A93" s="135"/>
      <c r="B93" s="133" t="s">
        <v>107</v>
      </c>
      <c r="C93" s="132" t="s">
        <v>98</v>
      </c>
      <c r="D93" s="129" t="s">
        <v>224</v>
      </c>
      <c r="E93" s="130">
        <f ca="1" t="shared" si="7"/>
        <v>0.396</v>
      </c>
      <c r="F93" s="131"/>
    </row>
    <row r="94" customHeight="1" spans="1:6">
      <c r="A94" s="148"/>
      <c r="B94" s="133" t="s">
        <v>109</v>
      </c>
      <c r="C94" s="132" t="s">
        <v>98</v>
      </c>
      <c r="D94" s="129" t="s">
        <v>225</v>
      </c>
      <c r="E94" s="130">
        <f ca="1" t="shared" si="7"/>
        <v>15.485184</v>
      </c>
      <c r="F94" s="131"/>
    </row>
    <row r="95" customHeight="1" spans="1:6">
      <c r="A95" s="132">
        <v>5</v>
      </c>
      <c r="B95" s="133" t="s">
        <v>159</v>
      </c>
      <c r="C95" s="132" t="s">
        <v>98</v>
      </c>
      <c r="D95" s="129">
        <v>0</v>
      </c>
      <c r="E95" s="130">
        <f ca="1" t="shared" si="7"/>
        <v>0</v>
      </c>
      <c r="F95" s="131"/>
    </row>
    <row r="96" ht="24" spans="1:7">
      <c r="A96" s="132">
        <v>6</v>
      </c>
      <c r="B96" s="133" t="s">
        <v>112</v>
      </c>
      <c r="C96" s="132" t="s">
        <v>113</v>
      </c>
      <c r="D96" s="129" t="s">
        <v>226</v>
      </c>
      <c r="E96" s="130">
        <f ca="1" t="shared" si="7"/>
        <v>155.4912</v>
      </c>
      <c r="F96" s="131"/>
      <c r="G96" s="104">
        <f>1.44/0.15</f>
        <v>9.6</v>
      </c>
    </row>
    <row r="97" customHeight="1" spans="1:6">
      <c r="A97" s="132">
        <v>7</v>
      </c>
      <c r="B97" s="133" t="s">
        <v>115</v>
      </c>
      <c r="C97" s="132" t="s">
        <v>116</v>
      </c>
      <c r="D97" s="150"/>
      <c r="E97" s="130">
        <f ca="1">SUM(E98:E101)</f>
        <v>1263.1798</v>
      </c>
      <c r="F97" s="131"/>
    </row>
    <row r="98" customHeight="1" spans="1:8">
      <c r="A98" s="132"/>
      <c r="B98" s="133" t="s">
        <v>118</v>
      </c>
      <c r="C98" s="132" t="s">
        <v>116</v>
      </c>
      <c r="D98" s="138" t="s">
        <v>227</v>
      </c>
      <c r="E98" s="130">
        <f ca="1" t="shared" ref="E98:E115" si="8">EVALUATE(D98)</f>
        <v>311.58144</v>
      </c>
      <c r="F98" s="131"/>
      <c r="G98" s="104">
        <f>6.42/0.15</f>
        <v>42.8</v>
      </c>
      <c r="H98" s="104">
        <f>4.4/0.15</f>
        <v>29.3333333333333</v>
      </c>
    </row>
    <row r="99" customHeight="1" spans="1:8">
      <c r="A99" s="132"/>
      <c r="B99" s="133" t="s">
        <v>120</v>
      </c>
      <c r="C99" s="132" t="s">
        <v>116</v>
      </c>
      <c r="D99" s="138" t="s">
        <v>228</v>
      </c>
      <c r="E99" s="130">
        <f ca="1" t="shared" si="8"/>
        <v>319.6498</v>
      </c>
      <c r="F99" s="131"/>
      <c r="G99" s="104">
        <f>6.62/0.15</f>
        <v>44.1333333333333</v>
      </c>
      <c r="H99" s="104">
        <f>4.6/0.15</f>
        <v>30.6666666666667</v>
      </c>
    </row>
    <row r="100" customHeight="1" spans="1:8">
      <c r="A100" s="132"/>
      <c r="B100" s="133" t="s">
        <v>229</v>
      </c>
      <c r="C100" s="132" t="s">
        <v>116</v>
      </c>
      <c r="D100" s="138" t="s">
        <v>230</v>
      </c>
      <c r="E100" s="130">
        <f ca="1" t="shared" si="8"/>
        <v>31.3764</v>
      </c>
      <c r="F100" s="131"/>
      <c r="G100" s="104">
        <f>4.4/0.2</f>
        <v>22</v>
      </c>
      <c r="H100" s="105">
        <f>(0.3-0.025*2+0.3-0.025*2)*2+11.9*0.008+8*0.008</f>
        <v>1.1592</v>
      </c>
    </row>
    <row r="101" customHeight="1" spans="1:11">
      <c r="A101" s="132"/>
      <c r="B101" s="133" t="s">
        <v>127</v>
      </c>
      <c r="C101" s="132" t="s">
        <v>116</v>
      </c>
      <c r="D101" s="138" t="s">
        <v>231</v>
      </c>
      <c r="E101" s="130">
        <f ca="1" t="shared" si="8"/>
        <v>600.57216</v>
      </c>
      <c r="F101" s="131"/>
      <c r="I101" s="145" t="s">
        <v>124</v>
      </c>
      <c r="J101" s="145" t="s">
        <v>125</v>
      </c>
      <c r="K101" s="145" t="s">
        <v>126</v>
      </c>
    </row>
    <row r="102" customHeight="1" spans="1:6">
      <c r="A102" s="132">
        <v>8</v>
      </c>
      <c r="B102" s="133" t="s">
        <v>129</v>
      </c>
      <c r="C102" s="132" t="s">
        <v>113</v>
      </c>
      <c r="D102" s="129">
        <v>0</v>
      </c>
      <c r="E102" s="130">
        <f ca="1" t="shared" si="8"/>
        <v>0</v>
      </c>
      <c r="F102" s="131"/>
    </row>
    <row r="103" customHeight="1" spans="1:9">
      <c r="A103" s="132">
        <v>9</v>
      </c>
      <c r="B103" s="133" t="s">
        <v>131</v>
      </c>
      <c r="C103" s="132" t="s">
        <v>113</v>
      </c>
      <c r="D103" s="129" t="s">
        <v>232</v>
      </c>
      <c r="E103" s="130">
        <f ca="1" t="shared" si="8"/>
        <v>14.608</v>
      </c>
      <c r="F103" s="131"/>
      <c r="H103" s="104">
        <f>0.2*6</f>
        <v>1.2</v>
      </c>
      <c r="I103" s="104">
        <f>0.4*6</f>
        <v>2.4</v>
      </c>
    </row>
    <row r="104" customHeight="1" spans="1:6">
      <c r="A104" s="132">
        <v>10</v>
      </c>
      <c r="B104" s="133" t="s">
        <v>133</v>
      </c>
      <c r="C104" s="132" t="s">
        <v>134</v>
      </c>
      <c r="D104" s="129">
        <v>0</v>
      </c>
      <c r="E104" s="130">
        <f ca="1" t="shared" si="8"/>
        <v>0</v>
      </c>
      <c r="F104" s="131"/>
    </row>
    <row r="105" customHeight="1" spans="1:11">
      <c r="A105" s="132">
        <v>11</v>
      </c>
      <c r="B105" s="133" t="s">
        <v>135</v>
      </c>
      <c r="C105" s="132" t="s">
        <v>136</v>
      </c>
      <c r="D105" s="129">
        <v>1</v>
      </c>
      <c r="E105" s="130">
        <f ca="1" t="shared" si="8"/>
        <v>1</v>
      </c>
      <c r="F105" s="131"/>
      <c r="I105" s="104">
        <f t="shared" ref="I105:K105" si="9">I112/0.2</f>
        <v>32.1</v>
      </c>
      <c r="J105" s="104">
        <f t="shared" si="9"/>
        <v>22</v>
      </c>
      <c r="K105" s="104">
        <f t="shared" si="9"/>
        <v>15.6</v>
      </c>
    </row>
    <row r="106" customHeight="1" spans="1:6">
      <c r="A106" s="132">
        <v>12</v>
      </c>
      <c r="B106" s="133" t="s">
        <v>137</v>
      </c>
      <c r="C106" s="132" t="s">
        <v>138</v>
      </c>
      <c r="D106" s="129">
        <v>100</v>
      </c>
      <c r="E106" s="130">
        <f ca="1" t="shared" si="8"/>
        <v>100</v>
      </c>
      <c r="F106" s="131"/>
    </row>
    <row r="107" customHeight="1" spans="1:6">
      <c r="A107" s="132">
        <v>13</v>
      </c>
      <c r="B107" s="133" t="s">
        <v>139</v>
      </c>
      <c r="C107" s="132" t="s">
        <v>140</v>
      </c>
      <c r="D107" s="129">
        <v>1</v>
      </c>
      <c r="E107" s="130">
        <f ca="1" t="shared" si="8"/>
        <v>1</v>
      </c>
      <c r="F107" s="131"/>
    </row>
    <row r="108" customHeight="1" spans="1:6">
      <c r="A108" s="132">
        <v>14</v>
      </c>
      <c r="B108" s="133" t="s">
        <v>141</v>
      </c>
      <c r="C108" s="132" t="s">
        <v>140</v>
      </c>
      <c r="D108" s="129">
        <v>0</v>
      </c>
      <c r="E108" s="130">
        <f ca="1" t="shared" si="8"/>
        <v>0</v>
      </c>
      <c r="F108" s="131"/>
    </row>
    <row r="109" customHeight="1" spans="1:6">
      <c r="A109" s="132">
        <v>15</v>
      </c>
      <c r="B109" s="133" t="s">
        <v>142</v>
      </c>
      <c r="C109" s="132" t="s">
        <v>140</v>
      </c>
      <c r="D109" s="129">
        <v>0</v>
      </c>
      <c r="E109" s="130">
        <f ca="1" t="shared" si="8"/>
        <v>0</v>
      </c>
      <c r="F109" s="131"/>
    </row>
    <row r="110" customHeight="1" spans="1:7">
      <c r="A110" s="132" t="s">
        <v>35</v>
      </c>
      <c r="B110" s="133" t="s">
        <v>143</v>
      </c>
      <c r="C110" s="132" t="s">
        <v>98</v>
      </c>
      <c r="D110" s="129" t="s">
        <v>233</v>
      </c>
      <c r="E110" s="130">
        <f ca="1" t="shared" si="8"/>
        <v>1.5226</v>
      </c>
      <c r="F110" s="131"/>
      <c r="G110" s="104">
        <f>6.7+1+6.7</f>
        <v>14.4</v>
      </c>
    </row>
    <row r="111" customHeight="1" spans="1:8">
      <c r="A111" s="132" t="s">
        <v>35</v>
      </c>
      <c r="B111" s="133" t="s">
        <v>202</v>
      </c>
      <c r="C111" s="132" t="s">
        <v>98</v>
      </c>
      <c r="D111" s="129" t="s">
        <v>234</v>
      </c>
      <c r="E111" s="130">
        <f ca="1" t="shared" si="8"/>
        <v>1.0344</v>
      </c>
      <c r="F111" s="131"/>
      <c r="H111" s="104">
        <f>6.42-2.48</f>
        <v>3.94</v>
      </c>
    </row>
    <row r="112" customHeight="1" spans="1:11">
      <c r="A112" s="132" t="s">
        <v>35</v>
      </c>
      <c r="B112" s="133" t="s">
        <v>145</v>
      </c>
      <c r="C112" s="132" t="s">
        <v>146</v>
      </c>
      <c r="D112" s="129">
        <v>7</v>
      </c>
      <c r="E112" s="130">
        <f ca="1" t="shared" si="8"/>
        <v>7</v>
      </c>
      <c r="F112" s="131"/>
      <c r="I112" s="145">
        <v>6.42</v>
      </c>
      <c r="J112" s="145">
        <v>4.4</v>
      </c>
      <c r="K112" s="145">
        <v>3.12</v>
      </c>
    </row>
    <row r="113" customHeight="1" spans="1:6">
      <c r="A113" s="132" t="s">
        <v>35</v>
      </c>
      <c r="B113" s="133" t="s">
        <v>147</v>
      </c>
      <c r="C113" s="132" t="s">
        <v>113</v>
      </c>
      <c r="D113" s="129" t="s">
        <v>235</v>
      </c>
      <c r="E113" s="130">
        <f ca="1" t="shared" si="8"/>
        <v>0</v>
      </c>
      <c r="F113" s="131"/>
    </row>
    <row r="114" customHeight="1" spans="1:7">
      <c r="A114" s="132" t="s">
        <v>35</v>
      </c>
      <c r="B114" s="133" t="s">
        <v>149</v>
      </c>
      <c r="C114" s="132" t="s">
        <v>113</v>
      </c>
      <c r="D114" s="129" t="s">
        <v>236</v>
      </c>
      <c r="E114" s="130">
        <f ca="1" t="shared" si="8"/>
        <v>29.7</v>
      </c>
      <c r="F114" s="131"/>
      <c r="G114" s="104">
        <f>2.68^2-(2.4-1.4)^2</f>
        <v>6.1824</v>
      </c>
    </row>
    <row r="115" customHeight="1" spans="1:6">
      <c r="A115" s="132" t="s">
        <v>35</v>
      </c>
      <c r="B115" s="133" t="s">
        <v>151</v>
      </c>
      <c r="C115" s="132" t="s">
        <v>96</v>
      </c>
      <c r="D115" s="129">
        <v>1</v>
      </c>
      <c r="E115" s="130">
        <f ca="1" t="shared" si="8"/>
        <v>1</v>
      </c>
      <c r="F115" s="131"/>
    </row>
    <row r="116" customHeight="1" spans="1:6">
      <c r="A116" s="118" t="s">
        <v>237</v>
      </c>
      <c r="B116" s="128" t="s">
        <v>238</v>
      </c>
      <c r="C116" s="118" t="s">
        <v>0</v>
      </c>
      <c r="D116" s="129"/>
      <c r="E116" s="130"/>
      <c r="F116" s="131"/>
    </row>
    <row r="117" customHeight="1" spans="1:6">
      <c r="A117" s="132">
        <v>1</v>
      </c>
      <c r="B117" s="133" t="s">
        <v>97</v>
      </c>
      <c r="C117" s="132" t="s">
        <v>98</v>
      </c>
      <c r="D117" s="129" t="s">
        <v>239</v>
      </c>
      <c r="E117" s="130">
        <f ca="1">EVALUATE(D117)</f>
        <v>10.6624</v>
      </c>
      <c r="F117" s="131"/>
    </row>
    <row r="118" customHeight="1" spans="1:6">
      <c r="A118" s="132">
        <v>2</v>
      </c>
      <c r="B118" s="133" t="s">
        <v>100</v>
      </c>
      <c r="C118" s="132" t="s">
        <v>98</v>
      </c>
      <c r="D118" s="129" t="s">
        <v>240</v>
      </c>
      <c r="E118" s="130">
        <f ca="1">EVALUATE(D118)</f>
        <v>2.6656</v>
      </c>
      <c r="F118" s="131"/>
    </row>
    <row r="119" customHeight="1" spans="1:6">
      <c r="A119" s="132">
        <v>3</v>
      </c>
      <c r="B119" s="133" t="s">
        <v>102</v>
      </c>
      <c r="C119" s="132" t="s">
        <v>98</v>
      </c>
      <c r="D119" s="129" t="s">
        <v>241</v>
      </c>
      <c r="E119" s="130">
        <f ca="1">EVALUATE(D119)</f>
        <v>13.328</v>
      </c>
      <c r="F119" s="131"/>
    </row>
    <row r="120" customHeight="1" spans="1:6">
      <c r="A120" s="132">
        <v>4</v>
      </c>
      <c r="B120" s="133" t="s">
        <v>242</v>
      </c>
      <c r="C120" s="132" t="s">
        <v>98</v>
      </c>
      <c r="D120" s="129" t="s">
        <v>243</v>
      </c>
      <c r="E120" s="130">
        <f ca="1">EVALUATE(D120)</f>
        <v>1</v>
      </c>
      <c r="F120" s="131"/>
    </row>
    <row r="121" customHeight="1" spans="1:6">
      <c r="A121" s="118" t="s">
        <v>152</v>
      </c>
      <c r="B121" s="128" t="s">
        <v>153</v>
      </c>
      <c r="C121" s="118" t="s">
        <v>0</v>
      </c>
      <c r="D121" s="129"/>
      <c r="E121" s="130"/>
      <c r="F121" s="131"/>
    </row>
    <row r="122" customHeight="1" spans="1:6">
      <c r="A122" s="132">
        <v>1</v>
      </c>
      <c r="B122" s="133" t="s">
        <v>97</v>
      </c>
      <c r="C122" s="132" t="s">
        <v>98</v>
      </c>
      <c r="D122" s="129" t="s">
        <v>244</v>
      </c>
      <c r="E122" s="130">
        <f ca="1" t="shared" ref="E122:E131" si="10">EVALUATE(D122)</f>
        <v>4.704</v>
      </c>
      <c r="F122" s="131"/>
    </row>
    <row r="123" customHeight="1" spans="1:6">
      <c r="A123" s="132">
        <v>2</v>
      </c>
      <c r="B123" s="133" t="s">
        <v>245</v>
      </c>
      <c r="C123" s="132" t="s">
        <v>98</v>
      </c>
      <c r="D123" s="129" t="s">
        <v>246</v>
      </c>
      <c r="E123" s="130">
        <f ca="1" t="shared" si="10"/>
        <v>0.784</v>
      </c>
      <c r="F123" s="131"/>
    </row>
    <row r="124" customHeight="1" spans="1:6">
      <c r="A124" s="132">
        <v>3</v>
      </c>
      <c r="B124" s="133" t="s">
        <v>157</v>
      </c>
      <c r="C124" s="132" t="s">
        <v>98</v>
      </c>
      <c r="D124" s="129" t="s">
        <v>247</v>
      </c>
      <c r="E124" s="130">
        <f ca="1" t="shared" si="10"/>
        <v>0.5488</v>
      </c>
      <c r="F124" s="131"/>
    </row>
    <row r="125" customHeight="1" spans="1:6">
      <c r="A125" s="132">
        <v>4</v>
      </c>
      <c r="B125" s="133" t="s">
        <v>159</v>
      </c>
      <c r="C125" s="132" t="s">
        <v>98</v>
      </c>
      <c r="D125" s="129" t="s">
        <v>248</v>
      </c>
      <c r="E125" s="130">
        <f ca="1" t="shared" si="10"/>
        <v>1.87776</v>
      </c>
      <c r="F125" s="131"/>
    </row>
    <row r="126" customHeight="1" spans="1:6">
      <c r="A126" s="132">
        <v>5</v>
      </c>
      <c r="B126" s="133" t="s">
        <v>112</v>
      </c>
      <c r="C126" s="132" t="s">
        <v>113</v>
      </c>
      <c r="D126" s="129" t="s">
        <v>249</v>
      </c>
      <c r="E126" s="130">
        <f ca="1" t="shared" si="10"/>
        <v>5.6904</v>
      </c>
      <c r="F126" s="131"/>
    </row>
    <row r="127" customHeight="1" spans="1:6">
      <c r="A127" s="132">
        <v>6</v>
      </c>
      <c r="B127" s="133" t="s">
        <v>115</v>
      </c>
      <c r="C127" s="132" t="s">
        <v>116</v>
      </c>
      <c r="D127" s="129" t="s">
        <v>250</v>
      </c>
      <c r="E127" s="130">
        <f ca="1" t="shared" si="10"/>
        <v>84.7512</v>
      </c>
      <c r="F127" s="131"/>
    </row>
    <row r="128" customHeight="1" spans="1:6">
      <c r="A128" s="132">
        <v>7</v>
      </c>
      <c r="B128" s="133" t="s">
        <v>129</v>
      </c>
      <c r="C128" s="132" t="s">
        <v>113</v>
      </c>
      <c r="D128" s="129" t="s">
        <v>251</v>
      </c>
      <c r="E128" s="130">
        <f ca="1" t="shared" si="10"/>
        <v>11.3552</v>
      </c>
      <c r="F128" s="131"/>
    </row>
    <row r="129" customHeight="1" spans="1:6">
      <c r="A129" s="132">
        <v>8</v>
      </c>
      <c r="B129" s="133" t="s">
        <v>163</v>
      </c>
      <c r="C129" s="132" t="s">
        <v>98</v>
      </c>
      <c r="D129" s="129" t="s">
        <v>252</v>
      </c>
      <c r="E129" s="130">
        <f ca="1" t="shared" si="10"/>
        <v>2.3552</v>
      </c>
      <c r="F129" s="131"/>
    </row>
    <row r="130" customHeight="1" spans="1:6">
      <c r="A130" s="132" t="s">
        <v>35</v>
      </c>
      <c r="B130" s="133" t="s">
        <v>100</v>
      </c>
      <c r="C130" s="132" t="s">
        <v>98</v>
      </c>
      <c r="D130" s="129" t="s">
        <v>253</v>
      </c>
      <c r="E130" s="130">
        <f ca="1" t="shared" si="10"/>
        <v>2.016</v>
      </c>
      <c r="F130" s="131"/>
    </row>
    <row r="131" customHeight="1" spans="1:8">
      <c r="A131" s="132" t="s">
        <v>35</v>
      </c>
      <c r="B131" s="133" t="s">
        <v>102</v>
      </c>
      <c r="C131" s="132" t="s">
        <v>98</v>
      </c>
      <c r="D131" s="129" t="s">
        <v>254</v>
      </c>
      <c r="E131" s="130">
        <f ca="1" t="shared" si="10"/>
        <v>1.4</v>
      </c>
      <c r="F131" s="131"/>
      <c r="G131" s="104">
        <f>5.6/0.15</f>
        <v>37.3333333333333</v>
      </c>
      <c r="H131" s="104">
        <f>1.4/0.15</f>
        <v>9.33333333333333</v>
      </c>
    </row>
    <row r="132" customHeight="1" spans="1:6">
      <c r="A132" s="118" t="s">
        <v>167</v>
      </c>
      <c r="B132" s="128" t="s">
        <v>255</v>
      </c>
      <c r="C132" s="118" t="s">
        <v>0</v>
      </c>
      <c r="D132" s="129"/>
      <c r="E132" s="130"/>
      <c r="F132" s="131" t="s">
        <v>177</v>
      </c>
    </row>
    <row r="133" customHeight="1" spans="1:7">
      <c r="A133" s="132">
        <v>1</v>
      </c>
      <c r="B133" s="133" t="s">
        <v>97</v>
      </c>
      <c r="C133" s="132" t="s">
        <v>98</v>
      </c>
      <c r="D133" s="129" t="s">
        <v>256</v>
      </c>
      <c r="E133" s="130">
        <f ca="1" t="shared" ref="E127:E179" si="11">EVALUATE(D133)</f>
        <v>3.7191</v>
      </c>
      <c r="F133" s="131"/>
      <c r="G133" s="104">
        <f>1.6*1.7</f>
        <v>2.72</v>
      </c>
    </row>
    <row r="134" customHeight="1" spans="1:6">
      <c r="A134" s="132">
        <v>2</v>
      </c>
      <c r="B134" s="133" t="s">
        <v>100</v>
      </c>
      <c r="C134" s="132" t="s">
        <v>98</v>
      </c>
      <c r="D134" s="129" t="s">
        <v>257</v>
      </c>
      <c r="E134" s="130">
        <f ca="1" t="shared" si="11"/>
        <v>1.5939</v>
      </c>
      <c r="F134" s="131"/>
    </row>
    <row r="135" customHeight="1" spans="1:6">
      <c r="A135" s="132">
        <v>3</v>
      </c>
      <c r="B135" s="133" t="s">
        <v>102</v>
      </c>
      <c r="C135" s="132" t="s">
        <v>98</v>
      </c>
      <c r="D135" s="129" t="s">
        <v>258</v>
      </c>
      <c r="E135" s="130">
        <f ca="1" t="shared" si="11"/>
        <v>0.98</v>
      </c>
      <c r="F135" s="131"/>
    </row>
    <row r="136" customHeight="1" spans="1:6">
      <c r="A136" s="132">
        <v>4</v>
      </c>
      <c r="B136" s="133" t="s">
        <v>245</v>
      </c>
      <c r="C136" s="132" t="s">
        <v>98</v>
      </c>
      <c r="D136" s="129" t="s">
        <v>181</v>
      </c>
      <c r="E136" s="130">
        <f ca="1" t="shared" si="11"/>
        <v>0.408</v>
      </c>
      <c r="F136" s="131"/>
    </row>
    <row r="137" customHeight="1" spans="1:6">
      <c r="A137" s="132">
        <v>5</v>
      </c>
      <c r="B137" s="133" t="s">
        <v>171</v>
      </c>
      <c r="C137" s="132" t="s">
        <v>98</v>
      </c>
      <c r="D137" s="129" t="s">
        <v>259</v>
      </c>
      <c r="E137" s="130">
        <f ca="1" t="shared" si="11"/>
        <v>1.3536</v>
      </c>
      <c r="F137" s="131"/>
    </row>
    <row r="138" customHeight="1" spans="1:8">
      <c r="A138" s="132">
        <v>6</v>
      </c>
      <c r="B138" s="133" t="s">
        <v>129</v>
      </c>
      <c r="C138" s="132" t="s">
        <v>113</v>
      </c>
      <c r="D138" s="129" t="s">
        <v>260</v>
      </c>
      <c r="E138" s="130">
        <f ca="1" t="shared" si="11"/>
        <v>6.7392</v>
      </c>
      <c r="F138" s="131"/>
      <c r="G138" s="104">
        <f>1.6-0.48</f>
        <v>1.12</v>
      </c>
      <c r="H138" s="104">
        <f>1.7-0.48</f>
        <v>1.22</v>
      </c>
    </row>
    <row r="139" customHeight="1" spans="1:6">
      <c r="A139" s="132" t="s">
        <v>35</v>
      </c>
      <c r="B139" s="133" t="s">
        <v>157</v>
      </c>
      <c r="C139" s="132" t="s">
        <v>98</v>
      </c>
      <c r="D139" s="129" t="s">
        <v>261</v>
      </c>
      <c r="E139" s="130">
        <f ca="1" t="shared" si="11"/>
        <v>0.1632</v>
      </c>
      <c r="F139" s="131"/>
    </row>
    <row r="140" customHeight="1" spans="1:6">
      <c r="A140" s="132" t="s">
        <v>35</v>
      </c>
      <c r="B140" s="133" t="s">
        <v>112</v>
      </c>
      <c r="C140" s="132" t="s">
        <v>113</v>
      </c>
      <c r="D140" s="129" t="s">
        <v>262</v>
      </c>
      <c r="E140" s="130">
        <f ca="1" t="shared" si="11"/>
        <v>0.396</v>
      </c>
      <c r="F140" s="131"/>
    </row>
    <row r="141" customHeight="1" spans="1:6">
      <c r="A141" s="132" t="s">
        <v>35</v>
      </c>
      <c r="B141" s="133" t="s">
        <v>115</v>
      </c>
      <c r="C141" s="132" t="s">
        <v>116</v>
      </c>
      <c r="D141" s="129" t="s">
        <v>186</v>
      </c>
      <c r="E141" s="130">
        <f ca="1" t="shared" si="11"/>
        <v>29.2142</v>
      </c>
      <c r="F141" s="131"/>
    </row>
    <row r="142" customHeight="1" spans="1:6">
      <c r="A142" s="118" t="s">
        <v>175</v>
      </c>
      <c r="B142" s="128" t="s">
        <v>206</v>
      </c>
      <c r="C142" s="118" t="s">
        <v>0</v>
      </c>
      <c r="D142" s="129"/>
      <c r="E142" s="130"/>
      <c r="F142" s="131"/>
    </row>
    <row r="143" customHeight="1" spans="1:6">
      <c r="A143" s="132">
        <v>1</v>
      </c>
      <c r="B143" s="133" t="s">
        <v>263</v>
      </c>
      <c r="C143" s="132" t="s">
        <v>264</v>
      </c>
      <c r="D143" s="129"/>
      <c r="E143" s="130"/>
      <c r="F143" s="131"/>
    </row>
    <row r="144" customHeight="1" spans="1:6">
      <c r="A144" s="132">
        <v>2</v>
      </c>
      <c r="B144" s="133" t="s">
        <v>208</v>
      </c>
      <c r="C144" s="132" t="s">
        <v>57</v>
      </c>
      <c r="D144" s="129">
        <f ca="1">二转材料统计!AG22</f>
        <v>10.6511184306032</v>
      </c>
      <c r="E144" s="130">
        <f ca="1" t="shared" si="11"/>
        <v>10.6511184306032</v>
      </c>
      <c r="F144" s="131"/>
    </row>
    <row r="145" customHeight="1" spans="1:6">
      <c r="A145" s="132">
        <v>3</v>
      </c>
      <c r="B145" s="133" t="s">
        <v>209</v>
      </c>
      <c r="C145" s="132" t="s">
        <v>98</v>
      </c>
      <c r="D145" s="129">
        <f ca="1">二转材料统计!AH22</f>
        <v>15.7673357328</v>
      </c>
      <c r="E145" s="130">
        <f ca="1" t="shared" si="11"/>
        <v>15.7673357328</v>
      </c>
      <c r="F145" s="131"/>
    </row>
    <row r="146" customHeight="1" spans="1:6">
      <c r="A146" s="132">
        <v>4</v>
      </c>
      <c r="B146" s="133" t="s">
        <v>210</v>
      </c>
      <c r="C146" s="132" t="s">
        <v>98</v>
      </c>
      <c r="D146" s="129">
        <f ca="1">二转材料统计!AI22+E129</f>
        <v>26.2112351792</v>
      </c>
      <c r="E146" s="130">
        <f ca="1" t="shared" si="11"/>
        <v>26.2112351792</v>
      </c>
      <c r="F146" s="131"/>
    </row>
    <row r="147" customHeight="1" spans="1:6">
      <c r="A147" s="132">
        <v>5</v>
      </c>
      <c r="B147" s="133" t="s">
        <v>211</v>
      </c>
      <c r="C147" s="132" t="s">
        <v>212</v>
      </c>
      <c r="D147" s="129">
        <f ca="1">二转材料统计!AJ22</f>
        <v>1.72554624</v>
      </c>
      <c r="E147" s="130">
        <f ca="1" t="shared" si="11"/>
        <v>1.72554624</v>
      </c>
      <c r="F147" s="131"/>
    </row>
    <row r="148" customHeight="1" spans="1:6">
      <c r="A148" s="132">
        <v>6</v>
      </c>
      <c r="B148" s="133" t="s">
        <v>213</v>
      </c>
      <c r="C148" s="132" t="s">
        <v>57</v>
      </c>
      <c r="D148" s="129">
        <f ca="1">(E127+E97+E141)/1000</f>
        <v>1.3771452</v>
      </c>
      <c r="E148" s="130">
        <f ca="1" t="shared" si="11"/>
        <v>1.3771452</v>
      </c>
      <c r="F148" s="131"/>
    </row>
    <row r="149" customHeight="1" spans="1:6">
      <c r="A149" s="123" t="s">
        <v>265</v>
      </c>
      <c r="B149" s="151" t="s">
        <v>266</v>
      </c>
      <c r="C149" s="123" t="s">
        <v>0</v>
      </c>
      <c r="D149" s="125"/>
      <c r="E149" s="152"/>
      <c r="F149" s="153"/>
    </row>
    <row r="150" customHeight="1" spans="1:6">
      <c r="A150" s="118" t="s">
        <v>94</v>
      </c>
      <c r="B150" s="128" t="s">
        <v>95</v>
      </c>
      <c r="C150" s="118"/>
      <c r="D150" s="129"/>
      <c r="E150" s="130"/>
      <c r="F150" s="131"/>
    </row>
    <row r="151" customHeight="1" spans="1:6">
      <c r="A151" s="132">
        <v>1</v>
      </c>
      <c r="B151" s="133" t="s">
        <v>97</v>
      </c>
      <c r="C151" s="132" t="s">
        <v>98</v>
      </c>
      <c r="D151" s="129" t="s">
        <v>267</v>
      </c>
      <c r="E151" s="130">
        <f ca="1" t="shared" ref="E151:E163" si="12">EVALUATE(D151)</f>
        <v>16.8</v>
      </c>
      <c r="F151" s="131"/>
    </row>
    <row r="152" customHeight="1" spans="1:6">
      <c r="A152" s="132">
        <v>2</v>
      </c>
      <c r="B152" s="133" t="s">
        <v>100</v>
      </c>
      <c r="C152" s="132" t="s">
        <v>98</v>
      </c>
      <c r="D152" s="129" t="s">
        <v>268</v>
      </c>
      <c r="E152" s="130">
        <f ca="1" t="shared" si="12"/>
        <v>47.6</v>
      </c>
      <c r="F152" s="131"/>
    </row>
    <row r="153" customHeight="1" spans="1:6">
      <c r="A153" s="132">
        <v>3</v>
      </c>
      <c r="B153" s="133" t="s">
        <v>102</v>
      </c>
      <c r="C153" s="132" t="s">
        <v>98</v>
      </c>
      <c r="D153" s="129" t="s">
        <v>269</v>
      </c>
      <c r="E153" s="130">
        <f ca="1" t="shared" si="12"/>
        <v>6.408</v>
      </c>
      <c r="F153" s="131"/>
    </row>
    <row r="154" customHeight="1" spans="1:6">
      <c r="A154" s="134">
        <v>4</v>
      </c>
      <c r="B154" s="133" t="s">
        <v>103</v>
      </c>
      <c r="C154" s="132" t="s">
        <v>98</v>
      </c>
      <c r="D154" s="129" t="s">
        <v>270</v>
      </c>
      <c r="E154" s="130">
        <f ca="1" t="shared" si="12"/>
        <v>3.762</v>
      </c>
      <c r="F154" s="131"/>
    </row>
    <row r="155" customHeight="1" spans="1:6">
      <c r="A155" s="135"/>
      <c r="B155" s="133" t="s">
        <v>105</v>
      </c>
      <c r="C155" s="132" t="s">
        <v>98</v>
      </c>
      <c r="D155" s="129" t="s">
        <v>271</v>
      </c>
      <c r="E155" s="130">
        <f ca="1" t="shared" si="12"/>
        <v>3.52</v>
      </c>
      <c r="F155" s="131"/>
    </row>
    <row r="156" customHeight="1" spans="1:6">
      <c r="A156" s="135"/>
      <c r="B156" s="133" t="s">
        <v>107</v>
      </c>
      <c r="C156" s="132" t="s">
        <v>98</v>
      </c>
      <c r="D156" s="129" t="s">
        <v>272</v>
      </c>
      <c r="E156" s="130">
        <f ca="1" t="shared" si="12"/>
        <v>0.9576</v>
      </c>
      <c r="F156" s="131"/>
    </row>
    <row r="157" customHeight="1" spans="1:6">
      <c r="A157" s="148"/>
      <c r="B157" s="133" t="s">
        <v>109</v>
      </c>
      <c r="C157" s="132" t="s">
        <v>98</v>
      </c>
      <c r="D157" s="129" t="s">
        <v>273</v>
      </c>
      <c r="E157" s="130">
        <f ca="1" t="shared" si="12"/>
        <v>8.49648</v>
      </c>
      <c r="F157" s="131"/>
    </row>
    <row r="158" customHeight="1" spans="1:6">
      <c r="A158" s="132">
        <v>5</v>
      </c>
      <c r="B158" s="133" t="s">
        <v>111</v>
      </c>
      <c r="C158" s="132" t="s">
        <v>98</v>
      </c>
      <c r="D158" s="129">
        <v>0</v>
      </c>
      <c r="E158" s="130">
        <f ca="1" t="shared" si="12"/>
        <v>0</v>
      </c>
      <c r="F158" s="131"/>
    </row>
    <row r="159" ht="24" spans="1:10">
      <c r="A159" s="132">
        <v>6</v>
      </c>
      <c r="B159" s="133" t="s">
        <v>112</v>
      </c>
      <c r="C159" s="132" t="s">
        <v>113</v>
      </c>
      <c r="D159" s="129" t="s">
        <v>274</v>
      </c>
      <c r="E159" s="130">
        <f ca="1" t="shared" si="12"/>
        <v>175.08</v>
      </c>
      <c r="F159" s="131"/>
      <c r="G159" s="104">
        <f>6.4-0.24*2</f>
        <v>5.92</v>
      </c>
      <c r="H159" s="104">
        <f>5.5-0.24*2</f>
        <v>5.02</v>
      </c>
      <c r="I159" s="104">
        <f>1.72/0.15</f>
        <v>11.4666666666667</v>
      </c>
      <c r="J159" s="104">
        <f>1.2/0.15</f>
        <v>8</v>
      </c>
    </row>
    <row r="160" customHeight="1" spans="1:8">
      <c r="A160" s="132">
        <v>7</v>
      </c>
      <c r="B160" s="133" t="s">
        <v>115</v>
      </c>
      <c r="C160" s="132" t="s">
        <v>116</v>
      </c>
      <c r="D160" s="150">
        <f ca="1">E161+E162+E163+E164</f>
        <v>1315.59382</v>
      </c>
      <c r="E160" s="130">
        <f ca="1" t="shared" si="12"/>
        <v>1315.59382</v>
      </c>
      <c r="F160" s="131"/>
      <c r="G160" s="104">
        <f>6.4/0.15</f>
        <v>42.6666666666667</v>
      </c>
      <c r="H160" s="104">
        <f>5.5/0.15</f>
        <v>36.6666666666667</v>
      </c>
    </row>
    <row r="161" customHeight="1" spans="1:11">
      <c r="A161" s="132"/>
      <c r="B161" s="133" t="s">
        <v>118</v>
      </c>
      <c r="C161" s="132" t="s">
        <v>116</v>
      </c>
      <c r="D161" s="129" t="s">
        <v>275</v>
      </c>
      <c r="E161" s="130">
        <f ca="1" t="shared" si="12"/>
        <v>174.8823</v>
      </c>
      <c r="F161" s="131"/>
      <c r="I161" s="145" t="s">
        <v>124</v>
      </c>
      <c r="J161" s="145" t="s">
        <v>125</v>
      </c>
      <c r="K161" s="145" t="s">
        <v>126</v>
      </c>
    </row>
    <row r="162" customHeight="1" spans="1:11">
      <c r="A162" s="132"/>
      <c r="B162" s="133" t="s">
        <v>120</v>
      </c>
      <c r="C162" s="132" t="s">
        <v>116</v>
      </c>
      <c r="D162" s="129" t="s">
        <v>276</v>
      </c>
      <c r="E162" s="130">
        <f ca="1" t="shared" si="12"/>
        <v>393.6728</v>
      </c>
      <c r="F162" s="131"/>
      <c r="G162" s="104">
        <f>6.6/0.15</f>
        <v>44</v>
      </c>
      <c r="H162" s="104">
        <f>5.7/0.15</f>
        <v>38</v>
      </c>
      <c r="I162" s="145">
        <v>6.4</v>
      </c>
      <c r="J162" s="145">
        <v>5.5</v>
      </c>
      <c r="K162" s="145">
        <v>3.1</v>
      </c>
    </row>
    <row r="163" customHeight="1" spans="1:11">
      <c r="A163" s="132"/>
      <c r="B163" s="133" t="s">
        <v>122</v>
      </c>
      <c r="C163" s="132" t="s">
        <v>116</v>
      </c>
      <c r="D163" s="129" t="s">
        <v>277</v>
      </c>
      <c r="E163" s="130">
        <f ca="1" t="shared" si="12"/>
        <v>85.088</v>
      </c>
      <c r="F163" s="131"/>
      <c r="G163" s="104">
        <f>6.4+5.5</f>
        <v>11.9</v>
      </c>
      <c r="H163" s="104">
        <f>G163/0.2</f>
        <v>59.5</v>
      </c>
      <c r="I163" s="108">
        <f t="shared" ref="I163:K163" si="13">I162/0.2</f>
        <v>32</v>
      </c>
      <c r="J163" s="108">
        <f t="shared" si="13"/>
        <v>27.5</v>
      </c>
      <c r="K163" s="108">
        <f t="shared" si="13"/>
        <v>15.5</v>
      </c>
    </row>
    <row r="164" customHeight="1" spans="1:7">
      <c r="A164" s="132"/>
      <c r="B164" s="133" t="s">
        <v>127</v>
      </c>
      <c r="C164" s="132" t="s">
        <v>116</v>
      </c>
      <c r="D164" s="129" t="s">
        <v>278</v>
      </c>
      <c r="E164" s="130">
        <f ca="1" t="shared" ref="E164:E177" si="14">EVALUATE(D164)</f>
        <v>661.95072</v>
      </c>
      <c r="F164" s="131"/>
      <c r="G164" s="105">
        <f>(0.3-0.025*2+0.3-0.025*2)*2+11.9*0.008+8*0.008</f>
        <v>1.1592</v>
      </c>
    </row>
    <row r="165" customHeight="1" spans="1:6">
      <c r="A165" s="132">
        <v>8</v>
      </c>
      <c r="B165" s="133" t="s">
        <v>129</v>
      </c>
      <c r="C165" s="132" t="s">
        <v>113</v>
      </c>
      <c r="D165" s="129">
        <v>0</v>
      </c>
      <c r="E165" s="130">
        <f ca="1" t="shared" si="14"/>
        <v>0</v>
      </c>
      <c r="F165" s="131"/>
    </row>
    <row r="166" customHeight="1" spans="1:6">
      <c r="A166" s="132">
        <v>9</v>
      </c>
      <c r="B166" s="133" t="s">
        <v>131</v>
      </c>
      <c r="C166" s="132" t="s">
        <v>113</v>
      </c>
      <c r="D166" s="129" t="s">
        <v>279</v>
      </c>
      <c r="E166" s="130">
        <f ca="1" t="shared" si="14"/>
        <v>22.145</v>
      </c>
      <c r="F166" s="131"/>
    </row>
    <row r="167" customHeight="1" spans="1:6">
      <c r="A167" s="132">
        <v>10</v>
      </c>
      <c r="B167" s="133" t="s">
        <v>133</v>
      </c>
      <c r="C167" s="132" t="s">
        <v>134</v>
      </c>
      <c r="D167" s="129">
        <v>0</v>
      </c>
      <c r="E167" s="130">
        <f ca="1" t="shared" si="14"/>
        <v>0</v>
      </c>
      <c r="F167" s="131"/>
    </row>
    <row r="168" customHeight="1" spans="1:6">
      <c r="A168" s="132">
        <v>11</v>
      </c>
      <c r="B168" s="133" t="s">
        <v>135</v>
      </c>
      <c r="C168" s="132" t="s">
        <v>136</v>
      </c>
      <c r="D168" s="129">
        <v>1</v>
      </c>
      <c r="E168" s="130">
        <f ca="1" t="shared" si="14"/>
        <v>1</v>
      </c>
      <c r="F168" s="131"/>
    </row>
    <row r="169" customHeight="1" spans="1:6">
      <c r="A169" s="132" t="s">
        <v>35</v>
      </c>
      <c r="B169" s="133" t="s">
        <v>137</v>
      </c>
      <c r="C169" s="132" t="s">
        <v>138</v>
      </c>
      <c r="D169" s="129">
        <v>150</v>
      </c>
      <c r="E169" s="130">
        <f ca="1" t="shared" si="14"/>
        <v>150</v>
      </c>
      <c r="F169" s="131"/>
    </row>
    <row r="170" s="105" customFormat="1" customHeight="1" spans="1:6">
      <c r="A170" s="132" t="s">
        <v>35</v>
      </c>
      <c r="B170" s="133" t="s">
        <v>139</v>
      </c>
      <c r="C170" s="132" t="s">
        <v>140</v>
      </c>
      <c r="D170" s="129">
        <v>1</v>
      </c>
      <c r="E170" s="130">
        <f ca="1" t="shared" si="14"/>
        <v>1</v>
      </c>
      <c r="F170" s="131"/>
    </row>
    <row r="171" customHeight="1" spans="1:6">
      <c r="A171" s="132" t="s">
        <v>35</v>
      </c>
      <c r="B171" s="133" t="s">
        <v>143</v>
      </c>
      <c r="C171" s="132" t="s">
        <v>98</v>
      </c>
      <c r="D171" s="129" t="s">
        <v>280</v>
      </c>
      <c r="E171" s="130">
        <f ca="1" t="shared" si="14"/>
        <v>1.881</v>
      </c>
      <c r="F171" s="131"/>
    </row>
    <row r="172" customHeight="1" spans="1:6">
      <c r="A172" s="132" t="s">
        <v>35</v>
      </c>
      <c r="B172" s="133" t="s">
        <v>202</v>
      </c>
      <c r="C172" s="132" t="s">
        <v>98</v>
      </c>
      <c r="D172" s="129" t="s">
        <v>281</v>
      </c>
      <c r="E172" s="130">
        <f ca="1" t="shared" si="14"/>
        <v>1.1094</v>
      </c>
      <c r="F172" s="131"/>
    </row>
    <row r="173" customHeight="1" spans="1:6">
      <c r="A173" s="132" t="s">
        <v>35</v>
      </c>
      <c r="B173" s="133" t="s">
        <v>145</v>
      </c>
      <c r="C173" s="132" t="s">
        <v>146</v>
      </c>
      <c r="D173" s="129">
        <v>9</v>
      </c>
      <c r="E173" s="130">
        <f ca="1" t="shared" si="14"/>
        <v>9</v>
      </c>
      <c r="F173" s="131"/>
    </row>
    <row r="174" customHeight="1" spans="1:6">
      <c r="A174" s="132" t="s">
        <v>35</v>
      </c>
      <c r="B174" s="133" t="s">
        <v>147</v>
      </c>
      <c r="C174" s="132" t="s">
        <v>113</v>
      </c>
      <c r="D174" s="129" t="s">
        <v>282</v>
      </c>
      <c r="E174" s="130">
        <f ca="1" t="shared" si="14"/>
        <v>0</v>
      </c>
      <c r="F174" s="131"/>
    </row>
    <row r="175" customHeight="1" spans="1:6">
      <c r="A175" s="132" t="s">
        <v>35</v>
      </c>
      <c r="B175" s="133" t="s">
        <v>149</v>
      </c>
      <c r="C175" s="132" t="s">
        <v>113</v>
      </c>
      <c r="D175" s="129" t="s">
        <v>283</v>
      </c>
      <c r="E175" s="130">
        <f ca="1" t="shared" si="14"/>
        <v>35.7</v>
      </c>
      <c r="F175" s="131"/>
    </row>
    <row r="176" customHeight="1" spans="1:6">
      <c r="A176" s="132" t="s">
        <v>35</v>
      </c>
      <c r="B176" s="133" t="s">
        <v>151</v>
      </c>
      <c r="C176" s="132" t="s">
        <v>96</v>
      </c>
      <c r="D176" s="129">
        <v>1</v>
      </c>
      <c r="E176" s="130">
        <f ca="1" t="shared" si="14"/>
        <v>1</v>
      </c>
      <c r="F176" s="131"/>
    </row>
    <row r="177" customHeight="1" spans="1:6">
      <c r="A177" s="132" t="s">
        <v>35</v>
      </c>
      <c r="B177" s="133" t="s">
        <v>284</v>
      </c>
      <c r="C177" s="132" t="s">
        <v>98</v>
      </c>
      <c r="D177" s="129" t="s">
        <v>285</v>
      </c>
      <c r="E177" s="130">
        <f ca="1" t="shared" si="14"/>
        <v>12.4155</v>
      </c>
      <c r="F177" s="131"/>
    </row>
    <row r="178" customHeight="1" spans="1:6">
      <c r="A178" s="118" t="s">
        <v>152</v>
      </c>
      <c r="B178" s="128" t="s">
        <v>153</v>
      </c>
      <c r="C178" s="118"/>
      <c r="D178" s="129"/>
      <c r="E178" s="130"/>
      <c r="F178" s="131"/>
    </row>
    <row r="179" customHeight="1" spans="1:6">
      <c r="A179" s="132">
        <v>1</v>
      </c>
      <c r="B179" s="133" t="s">
        <v>97</v>
      </c>
      <c r="C179" s="132" t="s">
        <v>98</v>
      </c>
      <c r="D179" s="129" t="s">
        <v>286</v>
      </c>
      <c r="E179" s="130">
        <f ca="1" t="shared" ref="E179:E188" si="15">EVALUATE(D179)</f>
        <v>2.268</v>
      </c>
      <c r="F179" s="131"/>
    </row>
    <row r="180" customHeight="1" spans="1:6">
      <c r="A180" s="132">
        <v>2</v>
      </c>
      <c r="B180" s="133" t="s">
        <v>245</v>
      </c>
      <c r="C180" s="132" t="s">
        <v>98</v>
      </c>
      <c r="D180" s="129" t="s">
        <v>156</v>
      </c>
      <c r="E180" s="130">
        <f ca="1" t="shared" si="15"/>
        <v>0.34</v>
      </c>
      <c r="F180" s="131"/>
    </row>
    <row r="181" customHeight="1" spans="1:6">
      <c r="A181" s="132">
        <v>3</v>
      </c>
      <c r="B181" s="133" t="s">
        <v>157</v>
      </c>
      <c r="C181" s="132" t="s">
        <v>98</v>
      </c>
      <c r="D181" s="129" t="s">
        <v>287</v>
      </c>
      <c r="E181" s="130">
        <f ca="1" t="shared" si="15"/>
        <v>0.238</v>
      </c>
      <c r="F181" s="131"/>
    </row>
    <row r="182" customHeight="1" spans="1:6">
      <c r="A182" s="132">
        <v>4</v>
      </c>
      <c r="B182" s="133" t="s">
        <v>159</v>
      </c>
      <c r="C182" s="132" t="s">
        <v>98</v>
      </c>
      <c r="D182" s="129" t="s">
        <v>288</v>
      </c>
      <c r="E182" s="130">
        <f ca="1" t="shared" si="15"/>
        <v>4.508</v>
      </c>
      <c r="F182" s="131"/>
    </row>
    <row r="183" customHeight="1" spans="1:6">
      <c r="A183" s="132">
        <v>5</v>
      </c>
      <c r="B183" s="133" t="s">
        <v>112</v>
      </c>
      <c r="C183" s="132" t="s">
        <v>113</v>
      </c>
      <c r="D183" s="129" t="s">
        <v>289</v>
      </c>
      <c r="E183" s="130">
        <f ca="1" t="shared" si="15"/>
        <v>2.3724</v>
      </c>
      <c r="F183" s="131"/>
    </row>
    <row r="184" customHeight="1" spans="1:8">
      <c r="A184" s="132">
        <v>6</v>
      </c>
      <c r="B184" s="133" t="s">
        <v>115</v>
      </c>
      <c r="C184" s="132" t="s">
        <v>116</v>
      </c>
      <c r="D184" s="129" t="s">
        <v>290</v>
      </c>
      <c r="E184" s="130">
        <f ca="1" t="shared" si="15"/>
        <v>35.392</v>
      </c>
      <c r="F184" s="131"/>
      <c r="G184" s="104">
        <f>2/0.15</f>
        <v>13.3333333333333</v>
      </c>
      <c r="H184" s="104">
        <f>1.7/0.15</f>
        <v>11.3333333333333</v>
      </c>
    </row>
    <row r="185" customHeight="1" spans="1:6">
      <c r="A185" s="132">
        <v>7</v>
      </c>
      <c r="B185" s="133" t="s">
        <v>129</v>
      </c>
      <c r="C185" s="132" t="s">
        <v>113</v>
      </c>
      <c r="D185" s="129" t="s">
        <v>291</v>
      </c>
      <c r="E185" s="130">
        <f ca="1" t="shared" si="15"/>
        <v>5.6992</v>
      </c>
      <c r="F185" s="131"/>
    </row>
    <row r="186" customHeight="1" spans="1:6">
      <c r="A186" s="132">
        <v>8</v>
      </c>
      <c r="B186" s="133" t="s">
        <v>163</v>
      </c>
      <c r="C186" s="132" t="s">
        <v>98</v>
      </c>
      <c r="D186" s="129" t="s">
        <v>292</v>
      </c>
      <c r="E186" s="130">
        <f ca="1" t="shared" si="15"/>
        <v>1.11264</v>
      </c>
      <c r="F186" s="131"/>
    </row>
    <row r="187" customHeight="1" spans="1:6">
      <c r="A187" s="132" t="s">
        <v>35</v>
      </c>
      <c r="B187" s="133" t="s">
        <v>100</v>
      </c>
      <c r="C187" s="132" t="s">
        <v>98</v>
      </c>
      <c r="D187" s="129" t="s">
        <v>293</v>
      </c>
      <c r="E187" s="130">
        <f ca="1" t="shared" si="15"/>
        <v>1.512</v>
      </c>
      <c r="F187" s="131"/>
    </row>
    <row r="188" customHeight="1" spans="1:6">
      <c r="A188" s="132" t="s">
        <v>35</v>
      </c>
      <c r="B188" s="133" t="s">
        <v>102</v>
      </c>
      <c r="C188" s="132" t="s">
        <v>98</v>
      </c>
      <c r="D188" s="129" t="s">
        <v>294</v>
      </c>
      <c r="E188" s="130">
        <f ca="1" t="shared" si="15"/>
        <v>1.554</v>
      </c>
      <c r="F188" s="131"/>
    </row>
    <row r="189" customHeight="1" spans="1:6">
      <c r="A189" s="118" t="s">
        <v>167</v>
      </c>
      <c r="B189" s="128" t="s">
        <v>295</v>
      </c>
      <c r="C189" s="118"/>
      <c r="D189" s="129"/>
      <c r="E189" s="130"/>
      <c r="F189" s="131"/>
    </row>
    <row r="190" customHeight="1" spans="1:6">
      <c r="A190" s="132">
        <v>1</v>
      </c>
      <c r="B190" s="133" t="s">
        <v>169</v>
      </c>
      <c r="C190" s="132" t="s">
        <v>98</v>
      </c>
      <c r="D190" s="129">
        <v>0</v>
      </c>
      <c r="E190" s="130">
        <f ca="1" t="shared" ref="E190:E196" si="16">EVALUATE(D190)</f>
        <v>0</v>
      </c>
      <c r="F190" s="131"/>
    </row>
    <row r="191" customHeight="1" spans="1:6">
      <c r="A191" s="132">
        <v>2</v>
      </c>
      <c r="B191" s="133" t="s">
        <v>170</v>
      </c>
      <c r="C191" s="132" t="s">
        <v>98</v>
      </c>
      <c r="D191" s="129">
        <v>0</v>
      </c>
      <c r="E191" s="130">
        <f ca="1" t="shared" si="16"/>
        <v>0</v>
      </c>
      <c r="F191" s="131"/>
    </row>
    <row r="192" customHeight="1" spans="1:6">
      <c r="A192" s="132">
        <v>3</v>
      </c>
      <c r="B192" s="133" t="s">
        <v>115</v>
      </c>
      <c r="C192" s="132" t="s">
        <v>116</v>
      </c>
      <c r="D192" s="129">
        <v>0</v>
      </c>
      <c r="E192" s="130">
        <f ca="1" t="shared" si="16"/>
        <v>0</v>
      </c>
      <c r="F192" s="131"/>
    </row>
    <row r="193" customHeight="1" spans="1:6">
      <c r="A193" s="132">
        <v>4</v>
      </c>
      <c r="B193" s="133" t="s">
        <v>171</v>
      </c>
      <c r="C193" s="132" t="s">
        <v>98</v>
      </c>
      <c r="D193" s="129">
        <v>0</v>
      </c>
      <c r="E193" s="130">
        <f ca="1" t="shared" si="16"/>
        <v>0</v>
      </c>
      <c r="F193" s="131"/>
    </row>
    <row r="194" customHeight="1" spans="1:6">
      <c r="A194" s="132">
        <v>5</v>
      </c>
      <c r="B194" s="133" t="s">
        <v>172</v>
      </c>
      <c r="C194" s="132" t="s">
        <v>113</v>
      </c>
      <c r="D194" s="129">
        <v>0</v>
      </c>
      <c r="E194" s="130">
        <f ca="1" t="shared" si="16"/>
        <v>0</v>
      </c>
      <c r="F194" s="131"/>
    </row>
    <row r="195" customHeight="1" spans="1:6">
      <c r="A195" s="132">
        <v>6</v>
      </c>
      <c r="B195" s="133" t="s">
        <v>173</v>
      </c>
      <c r="C195" s="132" t="s">
        <v>113</v>
      </c>
      <c r="D195" s="129">
        <v>0</v>
      </c>
      <c r="E195" s="130">
        <f ca="1" t="shared" si="16"/>
        <v>0</v>
      </c>
      <c r="F195" s="131"/>
    </row>
    <row r="196" customHeight="1" spans="1:6">
      <c r="A196" s="132">
        <v>7</v>
      </c>
      <c r="B196" s="133" t="s">
        <v>174</v>
      </c>
      <c r="C196" s="132" t="s">
        <v>113</v>
      </c>
      <c r="D196" s="129">
        <v>0</v>
      </c>
      <c r="E196" s="130">
        <f ca="1" t="shared" si="16"/>
        <v>0</v>
      </c>
      <c r="F196" s="131"/>
    </row>
    <row r="197" customHeight="1" spans="1:6">
      <c r="A197" s="118" t="s">
        <v>175</v>
      </c>
      <c r="B197" s="128" t="s">
        <v>176</v>
      </c>
      <c r="C197" s="118"/>
      <c r="D197" s="129"/>
      <c r="E197" s="130"/>
      <c r="F197" s="131" t="s">
        <v>177</v>
      </c>
    </row>
    <row r="198" customHeight="1" spans="1:6">
      <c r="A198" s="132">
        <v>1</v>
      </c>
      <c r="B198" s="133" t="s">
        <v>97</v>
      </c>
      <c r="C198" s="132" t="s">
        <v>98</v>
      </c>
      <c r="D198" s="129" t="s">
        <v>296</v>
      </c>
      <c r="E198" s="130">
        <f ca="1" t="shared" ref="E198:E206" si="17">EVALUATE(D198)</f>
        <v>1.836</v>
      </c>
      <c r="F198" s="131"/>
    </row>
    <row r="199" customHeight="1" spans="1:6">
      <c r="A199" s="132">
        <v>2</v>
      </c>
      <c r="B199" s="133" t="s">
        <v>100</v>
      </c>
      <c r="C199" s="132" t="s">
        <v>98</v>
      </c>
      <c r="D199" s="129" t="s">
        <v>297</v>
      </c>
      <c r="E199" s="130">
        <f ca="1" t="shared" si="17"/>
        <v>1.224</v>
      </c>
      <c r="F199" s="131"/>
    </row>
    <row r="200" customHeight="1" spans="1:6">
      <c r="A200" s="132">
        <v>3</v>
      </c>
      <c r="B200" s="133" t="s">
        <v>102</v>
      </c>
      <c r="C200" s="132" t="s">
        <v>98</v>
      </c>
      <c r="D200" s="129" t="s">
        <v>298</v>
      </c>
      <c r="E200" s="130">
        <f ca="1" t="shared" si="17"/>
        <v>0.66</v>
      </c>
      <c r="F200" s="131"/>
    </row>
    <row r="201" customHeight="1" spans="1:6">
      <c r="A201" s="132">
        <v>4</v>
      </c>
      <c r="B201" s="133" t="s">
        <v>155</v>
      </c>
      <c r="C201" s="132" t="s">
        <v>98</v>
      </c>
      <c r="D201" s="129" t="s">
        <v>299</v>
      </c>
      <c r="E201" s="130">
        <f ca="1" t="shared" si="17"/>
        <v>0.408</v>
      </c>
      <c r="F201" s="131"/>
    </row>
    <row r="202" customHeight="1" spans="1:9">
      <c r="A202" s="132">
        <v>5</v>
      </c>
      <c r="B202" s="133" t="s">
        <v>171</v>
      </c>
      <c r="C202" s="132" t="s">
        <v>98</v>
      </c>
      <c r="D202" s="129" t="s">
        <v>300</v>
      </c>
      <c r="E202" s="130">
        <f ca="1" t="shared" si="17"/>
        <v>0.94752</v>
      </c>
      <c r="F202" s="131"/>
      <c r="I202" s="104">
        <f>0.7+0.24+0.4</f>
        <v>1.34</v>
      </c>
    </row>
    <row r="203" customHeight="1" spans="1:6">
      <c r="A203" s="132">
        <v>6</v>
      </c>
      <c r="B203" s="133" t="s">
        <v>129</v>
      </c>
      <c r="C203" s="132" t="s">
        <v>113</v>
      </c>
      <c r="D203" s="129" t="s">
        <v>301</v>
      </c>
      <c r="E203" s="130">
        <f ca="1" t="shared" si="17"/>
        <v>6.2712</v>
      </c>
      <c r="F203" s="131"/>
    </row>
    <row r="204" customHeight="1" spans="1:6">
      <c r="A204" s="132" t="s">
        <v>35</v>
      </c>
      <c r="B204" s="133" t="s">
        <v>157</v>
      </c>
      <c r="C204" s="132" t="s">
        <v>98</v>
      </c>
      <c r="D204" s="129" t="s">
        <v>302</v>
      </c>
      <c r="E204" s="130">
        <f ca="1" t="shared" si="17"/>
        <v>0.136</v>
      </c>
      <c r="F204" s="131"/>
    </row>
    <row r="205" customHeight="1" spans="1:6">
      <c r="A205" s="132" t="s">
        <v>35</v>
      </c>
      <c r="B205" s="133" t="s">
        <v>112</v>
      </c>
      <c r="C205" s="132" t="s">
        <v>113</v>
      </c>
      <c r="D205" s="129" t="s">
        <v>303</v>
      </c>
      <c r="E205" s="130">
        <f ca="1" t="shared" si="17"/>
        <v>0.33</v>
      </c>
      <c r="F205" s="131"/>
    </row>
    <row r="206" customHeight="1" spans="1:6">
      <c r="A206" s="132" t="s">
        <v>35</v>
      </c>
      <c r="B206" s="133" t="s">
        <v>115</v>
      </c>
      <c r="C206" s="132" t="s">
        <v>116</v>
      </c>
      <c r="D206" s="129" t="s">
        <v>186</v>
      </c>
      <c r="E206" s="130">
        <f ca="1" t="shared" si="17"/>
        <v>29.2142</v>
      </c>
      <c r="F206" s="131"/>
    </row>
    <row r="207" customHeight="1" spans="1:6">
      <c r="A207" s="118" t="s">
        <v>63</v>
      </c>
      <c r="B207" s="128" t="s">
        <v>206</v>
      </c>
      <c r="C207" s="118" t="s">
        <v>0</v>
      </c>
      <c r="D207" s="129"/>
      <c r="E207" s="130"/>
      <c r="F207" s="131"/>
    </row>
    <row r="208" customHeight="1" spans="1:6">
      <c r="A208" s="132">
        <v>1</v>
      </c>
      <c r="B208" s="133" t="s">
        <v>207</v>
      </c>
      <c r="C208" s="132" t="s">
        <v>264</v>
      </c>
      <c r="D208" s="129"/>
      <c r="E208" s="130"/>
      <c r="F208" s="131"/>
    </row>
    <row r="209" customHeight="1" spans="1:6">
      <c r="A209" s="132">
        <v>2</v>
      </c>
      <c r="B209" s="133" t="s">
        <v>208</v>
      </c>
      <c r="C209" s="132" t="s">
        <v>57</v>
      </c>
      <c r="D209" s="129">
        <f ca="1">二转材料统计!AG39</f>
        <v>8.342622739908</v>
      </c>
      <c r="E209" s="130">
        <f ca="1" t="shared" ref="E183:E237" si="18">EVALUATE(D209)</f>
        <v>8.342622739908</v>
      </c>
      <c r="F209" s="131"/>
    </row>
    <row r="210" customHeight="1" spans="1:6">
      <c r="A210" s="132">
        <v>3</v>
      </c>
      <c r="B210" s="133" t="s">
        <v>209</v>
      </c>
      <c r="C210" s="132" t="s">
        <v>98</v>
      </c>
      <c r="D210" s="129">
        <f ca="1">二转材料统计!AH39</f>
        <v>12.79654972</v>
      </c>
      <c r="E210" s="130">
        <f ca="1" t="shared" si="18"/>
        <v>12.79654972</v>
      </c>
      <c r="F210" s="131"/>
    </row>
    <row r="211" customHeight="1" spans="1:6">
      <c r="A211" s="132">
        <v>4</v>
      </c>
      <c r="B211" s="133" t="s">
        <v>210</v>
      </c>
      <c r="C211" s="132" t="s">
        <v>98</v>
      </c>
      <c r="D211" s="129">
        <f ca="1">二转材料统计!AI39+E186</f>
        <v>19.179932768</v>
      </c>
      <c r="E211" s="130">
        <f ca="1" t="shared" si="18"/>
        <v>19.179932768</v>
      </c>
      <c r="F211" s="131"/>
    </row>
    <row r="212" customHeight="1" spans="1:6">
      <c r="A212" s="132">
        <v>5</v>
      </c>
      <c r="B212" s="133" t="s">
        <v>211</v>
      </c>
      <c r="C212" s="132" t="s">
        <v>212</v>
      </c>
      <c r="D212" s="129">
        <f ca="1">二转材料统计!AJ39</f>
        <v>2.91324768</v>
      </c>
      <c r="E212" s="130">
        <f ca="1" t="shared" si="18"/>
        <v>2.91324768</v>
      </c>
      <c r="F212" s="131"/>
    </row>
    <row r="213" customHeight="1" spans="1:6">
      <c r="A213" s="132">
        <v>6</v>
      </c>
      <c r="B213" s="133" t="s">
        <v>213</v>
      </c>
      <c r="C213" s="132" t="s">
        <v>57</v>
      </c>
      <c r="D213" s="129">
        <f ca="1">(E184+E160+E206)/1000</f>
        <v>1.38020002</v>
      </c>
      <c r="E213" s="130">
        <f ca="1" t="shared" si="18"/>
        <v>1.38020002</v>
      </c>
      <c r="F213" s="131"/>
    </row>
    <row r="214" customHeight="1" spans="1:6">
      <c r="A214" s="132">
        <v>7</v>
      </c>
      <c r="B214" s="133" t="s">
        <v>304</v>
      </c>
      <c r="C214" s="132" t="s">
        <v>98</v>
      </c>
      <c r="D214" s="129">
        <f ca="1">二转材料统计!AK39</f>
        <v>14.40198</v>
      </c>
      <c r="E214" s="130">
        <f ca="1" t="shared" si="18"/>
        <v>14.40198</v>
      </c>
      <c r="F214" s="131"/>
    </row>
    <row r="215" customHeight="1" spans="1:6">
      <c r="A215" s="118" t="s">
        <v>305</v>
      </c>
      <c r="B215" s="128" t="s">
        <v>306</v>
      </c>
      <c r="C215" s="118" t="s">
        <v>0</v>
      </c>
      <c r="D215" s="129"/>
      <c r="E215" s="130"/>
      <c r="F215" s="131"/>
    </row>
    <row r="216" customHeight="1" spans="1:8">
      <c r="A216" s="118" t="s">
        <v>94</v>
      </c>
      <c r="B216" s="128" t="s">
        <v>307</v>
      </c>
      <c r="C216" s="118"/>
      <c r="D216" s="129"/>
      <c r="E216" s="130"/>
      <c r="F216" s="131"/>
      <c r="H216" s="104">
        <f>(5.48+0.2)/2</f>
        <v>2.84</v>
      </c>
    </row>
    <row r="217" customHeight="1" spans="1:9">
      <c r="A217" s="132">
        <v>1</v>
      </c>
      <c r="B217" s="133" t="s">
        <v>97</v>
      </c>
      <c r="C217" s="132" t="s">
        <v>98</v>
      </c>
      <c r="D217" s="129" t="s">
        <v>308</v>
      </c>
      <c r="E217" s="130">
        <f ca="1" t="shared" ref="E217:E223" si="19">EVALUATE(D217)</f>
        <v>51.04833648</v>
      </c>
      <c r="F217" s="131"/>
      <c r="H217" s="104">
        <f>0.7+1.35</f>
        <v>2.05</v>
      </c>
      <c r="I217" s="104">
        <f>H217/2</f>
        <v>1.025</v>
      </c>
    </row>
    <row r="218" customHeight="1" spans="1:11">
      <c r="A218" s="132">
        <v>2</v>
      </c>
      <c r="B218" s="133" t="s">
        <v>100</v>
      </c>
      <c r="C218" s="132" t="s">
        <v>98</v>
      </c>
      <c r="D218" s="129" t="s">
        <v>309</v>
      </c>
      <c r="E218" s="130">
        <f ca="1" t="shared" si="19"/>
        <v>34.03222432</v>
      </c>
      <c r="F218" s="131"/>
      <c r="H218" s="104">
        <f>3.04-0.7</f>
        <v>2.34</v>
      </c>
      <c r="J218" s="104">
        <f>5.48/2</f>
        <v>2.74</v>
      </c>
      <c r="K218" s="155">
        <f>(J218+J231)/2</f>
        <v>3.325</v>
      </c>
    </row>
    <row r="219" customHeight="1" spans="1:6">
      <c r="A219" s="132">
        <v>3</v>
      </c>
      <c r="B219" s="133" t="s">
        <v>102</v>
      </c>
      <c r="C219" s="132" t="s">
        <v>98</v>
      </c>
      <c r="D219" s="129" t="s">
        <v>310</v>
      </c>
      <c r="E219" s="130">
        <f ca="1" t="shared" si="19"/>
        <v>25.8108</v>
      </c>
      <c r="F219" s="131"/>
    </row>
    <row r="220" customHeight="1" spans="1:6">
      <c r="A220" s="134">
        <v>4</v>
      </c>
      <c r="B220" s="133" t="s">
        <v>103</v>
      </c>
      <c r="C220" s="132" t="s">
        <v>98</v>
      </c>
      <c r="D220" s="129" t="s">
        <v>311</v>
      </c>
      <c r="E220" s="130">
        <f ca="1" t="shared" si="19"/>
        <v>2.5325984</v>
      </c>
      <c r="F220" s="131"/>
    </row>
    <row r="221" customHeight="1" spans="1:6">
      <c r="A221" s="148"/>
      <c r="B221" s="133" t="s">
        <v>312</v>
      </c>
      <c r="C221" s="132" t="s">
        <v>98</v>
      </c>
      <c r="D221" s="129" t="s">
        <v>313</v>
      </c>
      <c r="E221" s="130">
        <f ca="1" t="shared" si="19"/>
        <v>2.2715864</v>
      </c>
      <c r="F221" s="131"/>
    </row>
    <row r="222" customHeight="1" spans="1:8">
      <c r="A222" s="132">
        <v>5</v>
      </c>
      <c r="B222" s="133" t="s">
        <v>111</v>
      </c>
      <c r="C222" s="132" t="s">
        <v>98</v>
      </c>
      <c r="D222" s="129" t="s">
        <v>314</v>
      </c>
      <c r="E222" s="130">
        <f ca="1" t="shared" si="19"/>
        <v>12.00454656</v>
      </c>
      <c r="F222" s="131"/>
      <c r="H222" s="104">
        <f>(5.48-0.24)/2</f>
        <v>2.62</v>
      </c>
    </row>
    <row r="223" customHeight="1" spans="1:6">
      <c r="A223" s="132">
        <v>6</v>
      </c>
      <c r="B223" s="133" t="s">
        <v>112</v>
      </c>
      <c r="C223" s="132" t="s">
        <v>113</v>
      </c>
      <c r="D223" s="129" t="s">
        <v>315</v>
      </c>
      <c r="E223" s="130">
        <f ca="1" t="shared" si="19"/>
        <v>19.315</v>
      </c>
      <c r="F223" s="131"/>
    </row>
    <row r="224" customHeight="1" spans="1:6">
      <c r="A224" s="132">
        <v>7</v>
      </c>
      <c r="B224" s="133" t="s">
        <v>115</v>
      </c>
      <c r="C224" s="132" t="s">
        <v>116</v>
      </c>
      <c r="D224" s="129" t="s">
        <v>316</v>
      </c>
      <c r="E224" s="130">
        <f ca="1" t="shared" ref="E224:E236" si="20">EVALUATE(D224)</f>
        <v>494.30338</v>
      </c>
      <c r="F224" s="131"/>
    </row>
    <row r="225" customHeight="1" spans="1:6">
      <c r="A225" s="132">
        <v>8</v>
      </c>
      <c r="B225" s="133" t="s">
        <v>129</v>
      </c>
      <c r="C225" s="132" t="s">
        <v>113</v>
      </c>
      <c r="D225" s="129" t="s">
        <v>317</v>
      </c>
      <c r="E225" s="130">
        <f ca="1" t="shared" si="20"/>
        <v>65.36538</v>
      </c>
      <c r="F225" s="131"/>
    </row>
    <row r="226" customHeight="1" spans="1:6">
      <c r="A226" s="132">
        <v>9</v>
      </c>
      <c r="B226" s="133" t="s">
        <v>131</v>
      </c>
      <c r="C226" s="132" t="s">
        <v>113</v>
      </c>
      <c r="D226" s="129" t="s">
        <v>318</v>
      </c>
      <c r="E226" s="130">
        <f ca="1" t="shared" si="20"/>
        <v>17.63738</v>
      </c>
      <c r="F226" s="131"/>
    </row>
    <row r="227" customHeight="1" spans="1:6">
      <c r="A227" s="132">
        <v>10</v>
      </c>
      <c r="B227" s="133" t="s">
        <v>133</v>
      </c>
      <c r="C227" s="132" t="s">
        <v>134</v>
      </c>
      <c r="D227" s="129">
        <v>0</v>
      </c>
      <c r="E227" s="130">
        <f ca="1" t="shared" si="20"/>
        <v>0</v>
      </c>
      <c r="F227" s="131"/>
    </row>
    <row r="228" customHeight="1" spans="1:6">
      <c r="A228" s="132">
        <v>11</v>
      </c>
      <c r="B228" s="133" t="s">
        <v>135</v>
      </c>
      <c r="C228" s="132" t="s">
        <v>136</v>
      </c>
      <c r="D228" s="129">
        <v>1</v>
      </c>
      <c r="E228" s="130">
        <f ca="1" t="shared" si="20"/>
        <v>1</v>
      </c>
      <c r="F228" s="131"/>
    </row>
    <row r="229" customHeight="1" spans="1:6">
      <c r="A229" s="132" t="s">
        <v>35</v>
      </c>
      <c r="B229" s="133" t="s">
        <v>137</v>
      </c>
      <c r="C229" s="132" t="s">
        <v>138</v>
      </c>
      <c r="D229" s="129">
        <v>150</v>
      </c>
      <c r="E229" s="130">
        <f ca="1" t="shared" si="20"/>
        <v>150</v>
      </c>
      <c r="F229" s="131"/>
    </row>
    <row r="230" s="105" customFormat="1" customHeight="1" spans="1:6">
      <c r="A230" s="132" t="s">
        <v>35</v>
      </c>
      <c r="B230" s="133" t="s">
        <v>139</v>
      </c>
      <c r="C230" s="132" t="s">
        <v>140</v>
      </c>
      <c r="D230" s="129">
        <v>1</v>
      </c>
      <c r="E230" s="130">
        <f ca="1" t="shared" si="20"/>
        <v>1</v>
      </c>
      <c r="F230" s="131"/>
    </row>
    <row r="231" customHeight="1" spans="1:10">
      <c r="A231" s="132" t="s">
        <v>35</v>
      </c>
      <c r="B231" s="133" t="s">
        <v>319</v>
      </c>
      <c r="C231" s="132" t="s">
        <v>98</v>
      </c>
      <c r="D231" s="129" t="s">
        <v>320</v>
      </c>
      <c r="E231" s="130">
        <f ca="1" t="shared" si="20"/>
        <v>1.2662992</v>
      </c>
      <c r="F231" s="131"/>
      <c r="H231" s="154">
        <f>H218*0.5</f>
        <v>1.17</v>
      </c>
      <c r="I231" s="104">
        <f>5.48+H231*2</f>
        <v>7.82</v>
      </c>
      <c r="J231" s="104">
        <f>I231/2</f>
        <v>3.91</v>
      </c>
    </row>
    <row r="232" customHeight="1" spans="1:6">
      <c r="A232" s="132" t="s">
        <v>35</v>
      </c>
      <c r="B232" s="133" t="s">
        <v>202</v>
      </c>
      <c r="C232" s="132" t="s">
        <v>98</v>
      </c>
      <c r="D232" s="129" t="s">
        <v>321</v>
      </c>
      <c r="E232" s="130">
        <f ca="1" t="shared" si="20"/>
        <v>0.738528</v>
      </c>
      <c r="F232" s="131"/>
    </row>
    <row r="233" customHeight="1" spans="1:6">
      <c r="A233" s="132" t="s">
        <v>35</v>
      </c>
      <c r="B233" s="133" t="s">
        <v>145</v>
      </c>
      <c r="C233" s="132" t="s">
        <v>146</v>
      </c>
      <c r="D233" s="129">
        <v>8</v>
      </c>
      <c r="E233" s="130">
        <f ca="1" t="shared" si="20"/>
        <v>8</v>
      </c>
      <c r="F233" s="131"/>
    </row>
    <row r="234" customHeight="1" spans="1:6">
      <c r="A234" s="132" t="s">
        <v>35</v>
      </c>
      <c r="B234" s="133" t="s">
        <v>147</v>
      </c>
      <c r="C234" s="132" t="s">
        <v>113</v>
      </c>
      <c r="D234" s="129" t="s">
        <v>322</v>
      </c>
      <c r="E234" s="130">
        <f ca="1" t="shared" si="20"/>
        <v>0</v>
      </c>
      <c r="F234" s="131"/>
    </row>
    <row r="235" customHeight="1" spans="1:6">
      <c r="A235" s="132" t="s">
        <v>35</v>
      </c>
      <c r="B235" s="133" t="s">
        <v>149</v>
      </c>
      <c r="C235" s="132" t="s">
        <v>113</v>
      </c>
      <c r="D235" s="129" t="s">
        <v>323</v>
      </c>
      <c r="E235" s="130">
        <f ca="1" t="shared" si="20"/>
        <v>17.2072</v>
      </c>
      <c r="F235" s="131"/>
    </row>
    <row r="236" customHeight="1" spans="1:6">
      <c r="A236" s="132" t="s">
        <v>35</v>
      </c>
      <c r="B236" s="133" t="s">
        <v>151</v>
      </c>
      <c r="C236" s="132" t="s">
        <v>96</v>
      </c>
      <c r="D236" s="129">
        <v>1</v>
      </c>
      <c r="E236" s="130">
        <f ca="1" t="shared" si="20"/>
        <v>1</v>
      </c>
      <c r="F236" s="131"/>
    </row>
    <row r="237" customHeight="1" spans="1:6">
      <c r="A237" s="118" t="s">
        <v>152</v>
      </c>
      <c r="B237" s="128" t="s">
        <v>153</v>
      </c>
      <c r="C237" s="118" t="s">
        <v>96</v>
      </c>
      <c r="D237" s="129"/>
      <c r="E237" s="130"/>
      <c r="F237" s="131"/>
    </row>
    <row r="238" customHeight="1" spans="1:6">
      <c r="A238" s="132">
        <v>1</v>
      </c>
      <c r="B238" s="133" t="s">
        <v>97</v>
      </c>
      <c r="C238" s="132" t="s">
        <v>98</v>
      </c>
      <c r="D238" s="129" t="s">
        <v>324</v>
      </c>
      <c r="E238" s="130">
        <f ca="1" t="shared" ref="E238:E247" si="21">EVALUATE(D238)</f>
        <v>1.9656</v>
      </c>
      <c r="F238" s="131"/>
    </row>
    <row r="239" customHeight="1" spans="1:6">
      <c r="A239" s="132">
        <v>2</v>
      </c>
      <c r="B239" s="133" t="s">
        <v>245</v>
      </c>
      <c r="C239" s="132" t="s">
        <v>98</v>
      </c>
      <c r="D239" s="129" t="s">
        <v>325</v>
      </c>
      <c r="E239" s="130">
        <f ca="1" t="shared" si="21"/>
        <v>0.504</v>
      </c>
      <c r="F239" s="131"/>
    </row>
    <row r="240" customHeight="1" spans="1:6">
      <c r="A240" s="132">
        <v>3</v>
      </c>
      <c r="B240" s="133" t="s">
        <v>157</v>
      </c>
      <c r="C240" s="132" t="s">
        <v>98</v>
      </c>
      <c r="D240" s="129" t="s">
        <v>326</v>
      </c>
      <c r="E240" s="130">
        <f ca="1" t="shared" si="21"/>
        <v>0.3528</v>
      </c>
      <c r="F240" s="131"/>
    </row>
    <row r="241" customHeight="1" spans="1:6">
      <c r="A241" s="132">
        <v>4</v>
      </c>
      <c r="B241" s="133" t="s">
        <v>159</v>
      </c>
      <c r="C241" s="132" t="s">
        <v>98</v>
      </c>
      <c r="D241" s="129" t="s">
        <v>327</v>
      </c>
      <c r="E241" s="130">
        <f ca="1" t="shared" si="21"/>
        <v>1.0848</v>
      </c>
      <c r="F241" s="131"/>
    </row>
    <row r="242" customHeight="1" spans="1:6">
      <c r="A242" s="132">
        <v>5</v>
      </c>
      <c r="B242" s="133" t="s">
        <v>112</v>
      </c>
      <c r="C242" s="132" t="s">
        <v>113</v>
      </c>
      <c r="D242" s="129" t="s">
        <v>328</v>
      </c>
      <c r="E242" s="130">
        <f ca="1" t="shared" si="21"/>
        <v>3.5704</v>
      </c>
      <c r="F242" s="131"/>
    </row>
    <row r="243" customHeight="1" spans="1:8">
      <c r="A243" s="132">
        <v>6</v>
      </c>
      <c r="B243" s="133" t="s">
        <v>115</v>
      </c>
      <c r="C243" s="132" t="s">
        <v>116</v>
      </c>
      <c r="D243" s="129" t="s">
        <v>329</v>
      </c>
      <c r="E243" s="143">
        <f ca="1" t="shared" si="21"/>
        <v>78.2416</v>
      </c>
      <c r="F243" s="131"/>
      <c r="G243" s="104">
        <f>3.6/0.15</f>
        <v>24</v>
      </c>
      <c r="H243" s="104">
        <f>1.4/0.15</f>
        <v>9.33333333333333</v>
      </c>
    </row>
    <row r="244" customHeight="1" spans="1:6">
      <c r="A244" s="132">
        <v>7</v>
      </c>
      <c r="B244" s="133" t="s">
        <v>129</v>
      </c>
      <c r="C244" s="132" t="s">
        <v>113</v>
      </c>
      <c r="D244" s="129" t="s">
        <v>330</v>
      </c>
      <c r="E244" s="130">
        <f ca="1" t="shared" si="21"/>
        <v>6.7872</v>
      </c>
      <c r="F244" s="131"/>
    </row>
    <row r="245" customHeight="1" spans="1:6">
      <c r="A245" s="132">
        <v>8</v>
      </c>
      <c r="B245" s="133" t="s">
        <v>163</v>
      </c>
      <c r="C245" s="132" t="s">
        <v>98</v>
      </c>
      <c r="D245" s="129" t="s">
        <v>331</v>
      </c>
      <c r="E245" s="130">
        <f ca="1" t="shared" si="21"/>
        <v>1.104</v>
      </c>
      <c r="F245" s="131"/>
    </row>
    <row r="246" customHeight="1" spans="1:6">
      <c r="A246" s="132" t="s">
        <v>35</v>
      </c>
      <c r="B246" s="133" t="s">
        <v>100</v>
      </c>
      <c r="C246" s="132" t="s">
        <v>98</v>
      </c>
      <c r="D246" s="129" t="s">
        <v>332</v>
      </c>
      <c r="E246" s="130">
        <f ca="1" t="shared" si="21"/>
        <v>1.3104</v>
      </c>
      <c r="F246" s="131"/>
    </row>
    <row r="247" customHeight="1" spans="1:6">
      <c r="A247" s="132" t="s">
        <v>35</v>
      </c>
      <c r="B247" s="133" t="s">
        <v>102</v>
      </c>
      <c r="C247" s="132" t="s">
        <v>98</v>
      </c>
      <c r="D247" s="129" t="s">
        <v>333</v>
      </c>
      <c r="E247" s="130">
        <f ca="1" t="shared" si="21"/>
        <v>1.5</v>
      </c>
      <c r="F247" s="131"/>
    </row>
    <row r="248" customHeight="1" spans="1:10">
      <c r="A248" s="118" t="s">
        <v>167</v>
      </c>
      <c r="B248" s="128" t="s">
        <v>176</v>
      </c>
      <c r="C248" s="118"/>
      <c r="D248" s="129"/>
      <c r="E248" s="130"/>
      <c r="F248" s="131" t="s">
        <v>177</v>
      </c>
      <c r="H248" s="104" t="s">
        <v>334</v>
      </c>
      <c r="I248" s="104" t="s">
        <v>335</v>
      </c>
      <c r="J248" s="104" t="s">
        <v>336</v>
      </c>
    </row>
    <row r="249" customHeight="1" spans="1:10">
      <c r="A249" s="132">
        <v>1</v>
      </c>
      <c r="B249" s="133" t="s">
        <v>97</v>
      </c>
      <c r="C249" s="132" t="s">
        <v>98</v>
      </c>
      <c r="D249" s="129" t="s">
        <v>337</v>
      </c>
      <c r="E249" s="130">
        <f ca="1" t="shared" ref="E249:E256" si="22">EVALUATE(D249)</f>
        <v>2.893968</v>
      </c>
      <c r="F249" s="131"/>
      <c r="H249" s="104">
        <v>0.96</v>
      </c>
      <c r="I249" s="104">
        <v>1.4</v>
      </c>
      <c r="J249" s="104">
        <v>1.76</v>
      </c>
    </row>
    <row r="250" customHeight="1" spans="1:10">
      <c r="A250" s="132">
        <v>2</v>
      </c>
      <c r="B250" s="133" t="s">
        <v>100</v>
      </c>
      <c r="C250" s="132" t="s">
        <v>98</v>
      </c>
      <c r="D250" s="129" t="s">
        <v>338</v>
      </c>
      <c r="E250" s="130">
        <f ca="1" t="shared" si="22"/>
        <v>1.929312</v>
      </c>
      <c r="F250" s="131"/>
      <c r="H250" s="104">
        <f>H249+0.24*2</f>
        <v>1.44</v>
      </c>
      <c r="I250" s="104">
        <f>I249+0.24</f>
        <v>1.64</v>
      </c>
      <c r="J250" s="104">
        <f>J249+0.44</f>
        <v>2.2</v>
      </c>
    </row>
    <row r="251" customHeight="1" spans="1:6">
      <c r="A251" s="132">
        <v>3</v>
      </c>
      <c r="B251" s="133" t="s">
        <v>102</v>
      </c>
      <c r="C251" s="132" t="s">
        <v>98</v>
      </c>
      <c r="D251" s="129" t="s">
        <v>339</v>
      </c>
      <c r="E251" s="130">
        <f ca="1" t="shared" si="22"/>
        <v>4.1536</v>
      </c>
      <c r="F251" s="131"/>
    </row>
    <row r="252" customHeight="1" spans="1:6">
      <c r="A252" s="132">
        <v>4</v>
      </c>
      <c r="B252" s="133" t="s">
        <v>245</v>
      </c>
      <c r="C252" s="132" t="s">
        <v>98</v>
      </c>
      <c r="D252" s="129" t="s">
        <v>340</v>
      </c>
      <c r="E252" s="130">
        <f ca="1" t="shared" si="22"/>
        <v>0.35424</v>
      </c>
      <c r="F252" s="131" t="s">
        <v>87</v>
      </c>
    </row>
    <row r="253" customHeight="1" spans="1:6">
      <c r="A253" s="132">
        <v>5</v>
      </c>
      <c r="B253" s="133" t="s">
        <v>171</v>
      </c>
      <c r="C253" s="132" t="s">
        <v>98</v>
      </c>
      <c r="D253" s="129" t="s">
        <v>341</v>
      </c>
      <c r="E253" s="130">
        <f ca="1" t="shared" si="22"/>
        <v>1.790976</v>
      </c>
      <c r="F253" s="131"/>
    </row>
    <row r="254" customHeight="1" spans="1:6">
      <c r="A254" s="132">
        <v>6</v>
      </c>
      <c r="B254" s="133" t="s">
        <v>129</v>
      </c>
      <c r="C254" s="132" t="s">
        <v>113</v>
      </c>
      <c r="D254" s="129" t="s">
        <v>342</v>
      </c>
      <c r="E254" s="130">
        <f ca="1" t="shared" si="22"/>
        <v>10.384</v>
      </c>
      <c r="F254" s="131"/>
    </row>
    <row r="255" customHeight="1" spans="1:6">
      <c r="A255" s="132" t="s">
        <v>35</v>
      </c>
      <c r="B255" s="133" t="s">
        <v>343</v>
      </c>
      <c r="C255" s="132" t="s">
        <v>98</v>
      </c>
      <c r="D255" s="129" t="s">
        <v>344</v>
      </c>
      <c r="E255" s="130">
        <f ca="1" t="shared" si="22"/>
        <v>0.094464</v>
      </c>
      <c r="F255" s="131" t="s">
        <v>87</v>
      </c>
    </row>
    <row r="256" customHeight="1" spans="1:6">
      <c r="A256" s="132" t="s">
        <v>35</v>
      </c>
      <c r="B256" s="133" t="s">
        <v>112</v>
      </c>
      <c r="C256" s="132" t="s">
        <v>113</v>
      </c>
      <c r="D256" s="129" t="s">
        <v>345</v>
      </c>
      <c r="E256" s="130">
        <f ca="1" t="shared" si="22"/>
        <v>1.5904</v>
      </c>
      <c r="F256" s="131"/>
    </row>
    <row r="257" customHeight="1" spans="1:6">
      <c r="A257" s="118" t="s">
        <v>35</v>
      </c>
      <c r="B257" s="128" t="s">
        <v>238</v>
      </c>
      <c r="C257" s="118" t="s">
        <v>0</v>
      </c>
      <c r="D257" s="129"/>
      <c r="E257" s="130"/>
      <c r="F257" s="131"/>
    </row>
    <row r="258" customHeight="1" spans="1:6">
      <c r="A258" s="132">
        <v>1</v>
      </c>
      <c r="B258" s="133" t="s">
        <v>97</v>
      </c>
      <c r="C258" s="132" t="s">
        <v>98</v>
      </c>
      <c r="D258" s="129" t="s">
        <v>346</v>
      </c>
      <c r="E258" s="130">
        <f ca="1">EVALUATE(D258)</f>
        <v>28.416</v>
      </c>
      <c r="F258" s="131"/>
    </row>
    <row r="259" customHeight="1" spans="1:6">
      <c r="A259" s="132">
        <v>2</v>
      </c>
      <c r="B259" s="133" t="s">
        <v>100</v>
      </c>
      <c r="C259" s="132" t="s">
        <v>98</v>
      </c>
      <c r="D259" s="129" t="s">
        <v>347</v>
      </c>
      <c r="E259" s="130">
        <f ca="1">EVALUATE(D259)</f>
        <v>7.104</v>
      </c>
      <c r="F259" s="131"/>
    </row>
    <row r="260" customHeight="1" spans="1:6">
      <c r="A260" s="132">
        <v>3</v>
      </c>
      <c r="B260" s="133" t="s">
        <v>242</v>
      </c>
      <c r="C260" s="132" t="s">
        <v>98</v>
      </c>
      <c r="D260" s="129" t="s">
        <v>243</v>
      </c>
      <c r="E260" s="130">
        <f ca="1">EVALUATE(D260)</f>
        <v>1</v>
      </c>
      <c r="F260" s="131"/>
    </row>
    <row r="261" customHeight="1" spans="1:6">
      <c r="A261" s="132">
        <v>4</v>
      </c>
      <c r="B261" s="133" t="s">
        <v>102</v>
      </c>
      <c r="C261" s="132" t="s">
        <v>98</v>
      </c>
      <c r="D261" s="129" t="s">
        <v>348</v>
      </c>
      <c r="E261" s="130">
        <f ca="1">EVALUATE(D261)</f>
        <v>35.52</v>
      </c>
      <c r="F261" s="131"/>
    </row>
    <row r="262" customHeight="1" spans="1:6">
      <c r="A262" s="118" t="s">
        <v>35</v>
      </c>
      <c r="B262" s="128" t="s">
        <v>349</v>
      </c>
      <c r="C262" s="118" t="s">
        <v>0</v>
      </c>
      <c r="D262" s="129"/>
      <c r="E262" s="130"/>
      <c r="F262" s="131"/>
    </row>
    <row r="263" customHeight="1" spans="1:6">
      <c r="A263" s="132">
        <v>1</v>
      </c>
      <c r="B263" s="133" t="s">
        <v>350</v>
      </c>
      <c r="C263" s="132" t="s">
        <v>351</v>
      </c>
      <c r="D263" s="129" t="s">
        <v>352</v>
      </c>
      <c r="E263" s="130">
        <f ca="1">EVALUATE(D263)</f>
        <v>0</v>
      </c>
      <c r="F263" s="131"/>
    </row>
    <row r="264" customHeight="1" spans="1:6">
      <c r="A264" s="118" t="s">
        <v>353</v>
      </c>
      <c r="B264" s="128" t="s">
        <v>354</v>
      </c>
      <c r="C264" s="118" t="s">
        <v>0</v>
      </c>
      <c r="D264" s="129"/>
      <c r="E264" s="130"/>
      <c r="F264" s="131"/>
    </row>
    <row r="265" customHeight="1" spans="1:6">
      <c r="A265" s="118" t="s">
        <v>94</v>
      </c>
      <c r="B265" s="128" t="s">
        <v>95</v>
      </c>
      <c r="C265" s="118" t="s">
        <v>96</v>
      </c>
      <c r="D265" s="129"/>
      <c r="E265" s="130"/>
      <c r="F265" s="131"/>
    </row>
    <row r="266" customHeight="1" spans="1:8">
      <c r="A266" s="132">
        <v>1</v>
      </c>
      <c r="B266" s="133" t="s">
        <v>97</v>
      </c>
      <c r="C266" s="132" t="s">
        <v>98</v>
      </c>
      <c r="D266" s="129" t="s">
        <v>355</v>
      </c>
      <c r="E266" s="130">
        <f ca="1">EVALUATE(D266)</f>
        <v>12.159114</v>
      </c>
      <c r="F266" s="131"/>
      <c r="G266" s="104">
        <f>0.24+3.02+0.24</f>
        <v>3.5</v>
      </c>
      <c r="H266" s="104">
        <f>4/2</f>
        <v>2</v>
      </c>
    </row>
    <row r="267" customHeight="1" spans="1:8">
      <c r="A267" s="132">
        <v>2</v>
      </c>
      <c r="B267" s="133" t="s">
        <v>100</v>
      </c>
      <c r="C267" s="132" t="s">
        <v>98</v>
      </c>
      <c r="D267" s="129" t="s">
        <v>356</v>
      </c>
      <c r="E267" s="130">
        <f ca="1" t="shared" ref="E267:E276" si="23">EVALUATE(D267)</f>
        <v>9.948366</v>
      </c>
      <c r="F267" s="131"/>
      <c r="G267" s="104">
        <v>3.5</v>
      </c>
      <c r="H267" s="104">
        <f>1.2*0.3</f>
        <v>0.36</v>
      </c>
    </row>
    <row r="268" customHeight="1" spans="1:7">
      <c r="A268" s="132">
        <v>3</v>
      </c>
      <c r="B268" s="133" t="s">
        <v>102</v>
      </c>
      <c r="C268" s="132" t="s">
        <v>98</v>
      </c>
      <c r="D268" s="129" t="s">
        <v>357</v>
      </c>
      <c r="E268" s="130">
        <f ca="1" t="shared" si="23"/>
        <v>9.324</v>
      </c>
      <c r="F268" s="131"/>
      <c r="G268" s="104">
        <f>3.52-0.48</f>
        <v>3.04</v>
      </c>
    </row>
    <row r="269" customHeight="1" spans="1:8">
      <c r="A269" s="134">
        <v>4</v>
      </c>
      <c r="B269" s="133" t="s">
        <v>103</v>
      </c>
      <c r="C269" s="132" t="s">
        <v>98</v>
      </c>
      <c r="D269" s="129" t="s">
        <v>358</v>
      </c>
      <c r="E269" s="130">
        <f ca="1" t="shared" si="23"/>
        <v>2.0535</v>
      </c>
      <c r="F269" s="131"/>
      <c r="G269" s="104">
        <f>(G266+G284)/2</f>
        <v>3.86</v>
      </c>
      <c r="H269" s="104">
        <f>(G267+H284)/2</f>
        <v>3.86</v>
      </c>
    </row>
    <row r="270" customHeight="1" spans="1:6">
      <c r="A270" s="135"/>
      <c r="B270" s="133" t="s">
        <v>109</v>
      </c>
      <c r="C270" s="132" t="s">
        <v>98</v>
      </c>
      <c r="D270" s="129" t="s">
        <v>359</v>
      </c>
      <c r="E270" s="130">
        <f ca="1" t="shared" si="23"/>
        <v>7.886592</v>
      </c>
      <c r="F270" s="131"/>
    </row>
    <row r="271" customHeight="1" spans="1:6">
      <c r="A271" s="148"/>
      <c r="B271" s="133" t="s">
        <v>105</v>
      </c>
      <c r="C271" s="132" t="s">
        <v>98</v>
      </c>
      <c r="D271" s="129" t="s">
        <v>360</v>
      </c>
      <c r="E271" s="130">
        <f ca="1" t="shared" si="23"/>
        <v>1.20012</v>
      </c>
      <c r="F271" s="131"/>
    </row>
    <row r="272" customHeight="1" spans="1:6">
      <c r="A272" s="132">
        <v>5</v>
      </c>
      <c r="B272" s="133" t="s">
        <v>159</v>
      </c>
      <c r="C272" s="132" t="s">
        <v>98</v>
      </c>
      <c r="D272" s="129">
        <v>0</v>
      </c>
      <c r="E272" s="130">
        <f ca="1" t="shared" si="23"/>
        <v>0</v>
      </c>
      <c r="F272" s="131"/>
    </row>
    <row r="273" customHeight="1" spans="1:6">
      <c r="A273" s="132">
        <v>6</v>
      </c>
      <c r="B273" s="133" t="s">
        <v>112</v>
      </c>
      <c r="C273" s="132" t="s">
        <v>113</v>
      </c>
      <c r="D273" s="129" t="s">
        <v>361</v>
      </c>
      <c r="E273" s="130">
        <f ca="1" t="shared" si="23"/>
        <v>74.5958</v>
      </c>
      <c r="F273" s="131"/>
    </row>
    <row r="274" customHeight="1" spans="1:10">
      <c r="A274" s="132">
        <v>7</v>
      </c>
      <c r="B274" s="133" t="s">
        <v>115</v>
      </c>
      <c r="C274" s="132" t="s">
        <v>116</v>
      </c>
      <c r="D274" s="129">
        <f ca="1">E275+E276+E277</f>
        <v>516.52149</v>
      </c>
      <c r="E274" s="130">
        <f ca="1" t="shared" si="23"/>
        <v>516.52149</v>
      </c>
      <c r="F274" s="131"/>
      <c r="G274" s="104">
        <v>3.5</v>
      </c>
      <c r="I274" s="104">
        <f>1.73/0.15</f>
        <v>11.5333333333333</v>
      </c>
      <c r="J274" s="104">
        <f>1.3/0.15</f>
        <v>8.66666666666667</v>
      </c>
    </row>
    <row r="275" customHeight="1" spans="1:8">
      <c r="A275" s="132"/>
      <c r="B275" s="133" t="s">
        <v>118</v>
      </c>
      <c r="C275" s="132" t="s">
        <v>116</v>
      </c>
      <c r="D275" s="129" t="s">
        <v>362</v>
      </c>
      <c r="E275" s="130">
        <f ca="1" t="shared" si="23"/>
        <v>53.62125</v>
      </c>
      <c r="F275" s="131"/>
      <c r="G275" s="104">
        <f>3.5/0.15</f>
        <v>23.3333333333333</v>
      </c>
      <c r="H275" s="104">
        <f>3.7/0.15</f>
        <v>24.6666666666667</v>
      </c>
    </row>
    <row r="276" customHeight="1" spans="1:11">
      <c r="A276" s="132"/>
      <c r="B276" s="133" t="s">
        <v>120</v>
      </c>
      <c r="C276" s="132" t="s">
        <v>116</v>
      </c>
      <c r="D276" s="129" t="s">
        <v>363</v>
      </c>
      <c r="E276" s="130">
        <f ca="1" t="shared" si="23"/>
        <v>144.57</v>
      </c>
      <c r="F276" s="131"/>
      <c r="I276" s="145" t="s">
        <v>124</v>
      </c>
      <c r="J276" s="145" t="s">
        <v>125</v>
      </c>
      <c r="K276" s="104" t="s">
        <v>126</v>
      </c>
    </row>
    <row r="277" customHeight="1" spans="1:11">
      <c r="A277" s="132"/>
      <c r="B277" s="133" t="s">
        <v>127</v>
      </c>
      <c r="C277" s="132" t="s">
        <v>116</v>
      </c>
      <c r="D277" s="129" t="s">
        <v>364</v>
      </c>
      <c r="E277" s="130">
        <f ca="1" t="shared" ref="E277:E288" si="24">EVALUATE(D277)</f>
        <v>318.33024</v>
      </c>
      <c r="F277" s="131"/>
      <c r="I277" s="145">
        <v>3.5</v>
      </c>
      <c r="J277" s="145">
        <v>3.5</v>
      </c>
      <c r="K277" s="104">
        <v>2.52</v>
      </c>
    </row>
    <row r="278" customHeight="1" spans="1:6">
      <c r="A278" s="132">
        <v>8</v>
      </c>
      <c r="B278" s="133" t="s">
        <v>129</v>
      </c>
      <c r="C278" s="132" t="s">
        <v>113</v>
      </c>
      <c r="D278" s="129">
        <v>0</v>
      </c>
      <c r="E278" s="130">
        <f ca="1" t="shared" si="24"/>
        <v>0</v>
      </c>
      <c r="F278" s="131"/>
    </row>
    <row r="279" customHeight="1" spans="1:6">
      <c r="A279" s="132">
        <v>9</v>
      </c>
      <c r="B279" s="133" t="s">
        <v>131</v>
      </c>
      <c r="C279" s="132" t="s">
        <v>113</v>
      </c>
      <c r="D279" s="129" t="s">
        <v>365</v>
      </c>
      <c r="E279" s="130">
        <f ca="1" t="shared" si="24"/>
        <v>19.11</v>
      </c>
      <c r="F279" s="131"/>
    </row>
    <row r="280" customHeight="1" spans="1:6">
      <c r="A280" s="132">
        <v>10</v>
      </c>
      <c r="B280" s="133" t="s">
        <v>133</v>
      </c>
      <c r="C280" s="132" t="s">
        <v>134</v>
      </c>
      <c r="D280" s="129">
        <v>0</v>
      </c>
      <c r="E280" s="130">
        <f ca="1" t="shared" si="24"/>
        <v>0</v>
      </c>
      <c r="F280" s="131"/>
    </row>
    <row r="281" customHeight="1" spans="1:11">
      <c r="A281" s="132">
        <v>11</v>
      </c>
      <c r="B281" s="133" t="s">
        <v>135</v>
      </c>
      <c r="C281" s="132" t="s">
        <v>136</v>
      </c>
      <c r="D281" s="129">
        <v>1</v>
      </c>
      <c r="E281" s="130">
        <f ca="1" t="shared" si="24"/>
        <v>1</v>
      </c>
      <c r="F281" s="131"/>
      <c r="I281" s="108">
        <f t="shared" ref="I281:K281" si="25">I277/0.2</f>
        <v>17.5</v>
      </c>
      <c r="J281" s="108">
        <f t="shared" si="25"/>
        <v>17.5</v>
      </c>
      <c r="K281" s="108">
        <f t="shared" si="25"/>
        <v>12.6</v>
      </c>
    </row>
    <row r="282" customHeight="1" spans="1:6">
      <c r="A282" s="132" t="s">
        <v>35</v>
      </c>
      <c r="B282" s="133" t="s">
        <v>137</v>
      </c>
      <c r="C282" s="132" t="s">
        <v>138</v>
      </c>
      <c r="D282" s="129">
        <v>150</v>
      </c>
      <c r="E282" s="130">
        <f ca="1" t="shared" si="24"/>
        <v>150</v>
      </c>
      <c r="F282" s="131"/>
    </row>
    <row r="283" s="105" customFormat="1" customHeight="1" spans="1:6">
      <c r="A283" s="132" t="s">
        <v>35</v>
      </c>
      <c r="B283" s="133" t="s">
        <v>139</v>
      </c>
      <c r="C283" s="132" t="s">
        <v>140</v>
      </c>
      <c r="D283" s="129">
        <v>1</v>
      </c>
      <c r="E283" s="130">
        <f ca="1" t="shared" si="24"/>
        <v>1</v>
      </c>
      <c r="F283" s="131"/>
    </row>
    <row r="284" customHeight="1" spans="1:8">
      <c r="A284" s="132" t="s">
        <v>35</v>
      </c>
      <c r="B284" s="133" t="s">
        <v>143</v>
      </c>
      <c r="C284" s="132" t="s">
        <v>98</v>
      </c>
      <c r="D284" s="129" t="s">
        <v>366</v>
      </c>
      <c r="E284" s="130">
        <f ca="1" t="shared" si="24"/>
        <v>0.6845</v>
      </c>
      <c r="F284" s="131"/>
      <c r="G284" s="104">
        <f>G266+H267*2</f>
        <v>4.22</v>
      </c>
      <c r="H284" s="104">
        <f>G267+H267*2</f>
        <v>4.22</v>
      </c>
    </row>
    <row r="285" customHeight="1" spans="1:7">
      <c r="A285" s="132" t="s">
        <v>35</v>
      </c>
      <c r="B285" s="133" t="s">
        <v>145</v>
      </c>
      <c r="C285" s="132" t="s">
        <v>146</v>
      </c>
      <c r="D285" s="129">
        <v>8</v>
      </c>
      <c r="E285" s="130">
        <f ca="1" t="shared" si="24"/>
        <v>8</v>
      </c>
      <c r="F285" s="131"/>
      <c r="G285" s="105">
        <f>(0.3-0.025*2+0.3-0.025*2)*2+11.9*0.008+8*0.008</f>
        <v>1.1592</v>
      </c>
    </row>
    <row r="286" customHeight="1" spans="1:6">
      <c r="A286" s="132" t="s">
        <v>35</v>
      </c>
      <c r="B286" s="133" t="s">
        <v>147</v>
      </c>
      <c r="C286" s="132" t="s">
        <v>113</v>
      </c>
      <c r="D286" s="129" t="s">
        <v>367</v>
      </c>
      <c r="E286" s="130">
        <f ca="1" t="shared" si="24"/>
        <v>0</v>
      </c>
      <c r="F286" s="131"/>
    </row>
    <row r="287" customHeight="1" spans="1:6">
      <c r="A287" s="132" t="s">
        <v>35</v>
      </c>
      <c r="B287" s="133" t="s">
        <v>149</v>
      </c>
      <c r="C287" s="132" t="s">
        <v>113</v>
      </c>
      <c r="D287" s="129" t="s">
        <v>368</v>
      </c>
      <c r="E287" s="130">
        <f ca="1" t="shared" si="24"/>
        <v>21</v>
      </c>
      <c r="F287" s="131"/>
    </row>
    <row r="288" customHeight="1" spans="1:6">
      <c r="A288" s="132" t="s">
        <v>35</v>
      </c>
      <c r="B288" s="133" t="s">
        <v>151</v>
      </c>
      <c r="C288" s="132" t="s">
        <v>96</v>
      </c>
      <c r="D288" s="129">
        <v>1</v>
      </c>
      <c r="E288" s="130">
        <f ca="1" t="shared" si="24"/>
        <v>1</v>
      </c>
      <c r="F288" s="131"/>
    </row>
    <row r="289" customHeight="1" spans="1:6">
      <c r="A289" s="118" t="s">
        <v>152</v>
      </c>
      <c r="B289" s="128" t="s">
        <v>176</v>
      </c>
      <c r="C289" s="118" t="s">
        <v>96</v>
      </c>
      <c r="D289" s="129"/>
      <c r="E289" s="130"/>
      <c r="F289" s="131" t="s">
        <v>177</v>
      </c>
    </row>
    <row r="290" customHeight="1" spans="1:6">
      <c r="A290" s="132">
        <v>1</v>
      </c>
      <c r="B290" s="133" t="s">
        <v>97</v>
      </c>
      <c r="C290" s="132" t="s">
        <v>98</v>
      </c>
      <c r="D290" s="129" t="s">
        <v>369</v>
      </c>
      <c r="E290" s="130">
        <f ca="1" t="shared" ref="E290:E298" si="26">EVALUATE(D290)</f>
        <v>0.728</v>
      </c>
      <c r="F290" s="131"/>
    </row>
    <row r="291" customHeight="1" spans="1:6">
      <c r="A291" s="132">
        <v>2</v>
      </c>
      <c r="B291" s="133" t="s">
        <v>100</v>
      </c>
      <c r="C291" s="132" t="s">
        <v>98</v>
      </c>
      <c r="D291" s="129" t="s">
        <v>369</v>
      </c>
      <c r="E291" s="130">
        <f ca="1" t="shared" si="26"/>
        <v>0.728</v>
      </c>
      <c r="F291" s="131"/>
    </row>
    <row r="292" customHeight="1" spans="1:6">
      <c r="A292" s="132">
        <v>3</v>
      </c>
      <c r="B292" s="133" t="s">
        <v>102</v>
      </c>
      <c r="C292" s="132" t="s">
        <v>98</v>
      </c>
      <c r="D292" s="129" t="s">
        <v>370</v>
      </c>
      <c r="E292" s="130">
        <f ca="1" t="shared" si="26"/>
        <v>0.322</v>
      </c>
      <c r="F292" s="131"/>
    </row>
    <row r="293" customHeight="1" spans="1:6">
      <c r="A293" s="132">
        <v>4</v>
      </c>
      <c r="B293" s="133" t="s">
        <v>245</v>
      </c>
      <c r="C293" s="132" t="s">
        <v>98</v>
      </c>
      <c r="D293" s="129" t="s">
        <v>371</v>
      </c>
      <c r="E293" s="130">
        <f ca="1" t="shared" si="26"/>
        <v>0.198</v>
      </c>
      <c r="F293" s="131" t="s">
        <v>87</v>
      </c>
    </row>
    <row r="294" customHeight="1" spans="1:6">
      <c r="A294" s="132">
        <v>5</v>
      </c>
      <c r="B294" s="133" t="s">
        <v>171</v>
      </c>
      <c r="C294" s="132" t="s">
        <v>98</v>
      </c>
      <c r="D294" s="129" t="s">
        <v>372</v>
      </c>
      <c r="E294" s="130">
        <f ca="1" t="shared" si="26"/>
        <v>0.61152</v>
      </c>
      <c r="F294" s="131"/>
    </row>
    <row r="295" customHeight="1" spans="1:6">
      <c r="A295" s="132">
        <v>6</v>
      </c>
      <c r="B295" s="133" t="s">
        <v>129</v>
      </c>
      <c r="C295" s="132" t="s">
        <v>113</v>
      </c>
      <c r="D295" s="129">
        <v>0</v>
      </c>
      <c r="E295" s="130">
        <f ca="1" t="shared" si="26"/>
        <v>0</v>
      </c>
      <c r="F295" s="131"/>
    </row>
    <row r="296" customHeight="1" spans="1:8">
      <c r="A296" s="132" t="s">
        <v>35</v>
      </c>
      <c r="B296" s="133" t="s">
        <v>157</v>
      </c>
      <c r="C296" s="132" t="s">
        <v>98</v>
      </c>
      <c r="D296" s="129" t="s">
        <v>373</v>
      </c>
      <c r="E296" s="130">
        <f ca="1" t="shared" si="26"/>
        <v>0.0924</v>
      </c>
      <c r="F296" s="131"/>
      <c r="G296" s="104">
        <f>1.1/0.2</f>
        <v>5.5</v>
      </c>
      <c r="H296" s="104">
        <f>1.2/0.2</f>
        <v>6</v>
      </c>
    </row>
    <row r="297" customHeight="1" spans="1:6">
      <c r="A297" s="132" t="s">
        <v>35</v>
      </c>
      <c r="B297" s="133" t="s">
        <v>112</v>
      </c>
      <c r="C297" s="132" t="s">
        <v>113</v>
      </c>
      <c r="D297" s="129" t="s">
        <v>374</v>
      </c>
      <c r="E297" s="130">
        <f ca="1" t="shared" si="26"/>
        <v>0.7684</v>
      </c>
      <c r="F297" s="131"/>
    </row>
    <row r="298" customHeight="1" spans="1:7">
      <c r="A298" s="132" t="s">
        <v>35</v>
      </c>
      <c r="B298" s="133" t="s">
        <v>115</v>
      </c>
      <c r="C298" s="132" t="s">
        <v>116</v>
      </c>
      <c r="D298" s="129" t="s">
        <v>375</v>
      </c>
      <c r="E298" s="130">
        <f ca="1" t="shared" si="26"/>
        <v>5.2614</v>
      </c>
      <c r="F298" s="131"/>
      <c r="G298" s="104">
        <f>1.1-0.48</f>
        <v>0.62</v>
      </c>
    </row>
    <row r="299" customHeight="1" spans="1:6">
      <c r="A299" s="118" t="s">
        <v>35</v>
      </c>
      <c r="B299" s="128" t="s">
        <v>376</v>
      </c>
      <c r="C299" s="118" t="s">
        <v>96</v>
      </c>
      <c r="D299" s="129"/>
      <c r="E299" s="130"/>
      <c r="F299" s="131" t="s">
        <v>377</v>
      </c>
    </row>
    <row r="300" customHeight="1" spans="1:6">
      <c r="A300" s="132">
        <v>1</v>
      </c>
      <c r="B300" s="133" t="s">
        <v>97</v>
      </c>
      <c r="C300" s="132" t="s">
        <v>98</v>
      </c>
      <c r="D300" s="129">
        <v>0</v>
      </c>
      <c r="E300" s="130">
        <f ca="1" t="shared" ref="E300:E305" si="27">EVALUATE(D300)</f>
        <v>0</v>
      </c>
      <c r="F300" s="131"/>
    </row>
    <row r="301" customHeight="1" spans="1:6">
      <c r="A301" s="132">
        <v>2</v>
      </c>
      <c r="B301" s="133" t="s">
        <v>100</v>
      </c>
      <c r="C301" s="132" t="s">
        <v>98</v>
      </c>
      <c r="D301" s="129">
        <v>0</v>
      </c>
      <c r="E301" s="130">
        <f ca="1" t="shared" si="27"/>
        <v>0</v>
      </c>
      <c r="F301" s="131"/>
    </row>
    <row r="302" customHeight="1" spans="1:6">
      <c r="A302" s="132">
        <v>3</v>
      </c>
      <c r="B302" s="133" t="s">
        <v>378</v>
      </c>
      <c r="C302" s="132" t="s">
        <v>98</v>
      </c>
      <c r="D302" s="129">
        <v>0</v>
      </c>
      <c r="E302" s="130">
        <f ca="1" t="shared" si="27"/>
        <v>0</v>
      </c>
      <c r="F302" s="131"/>
    </row>
    <row r="303" customHeight="1" spans="1:6">
      <c r="A303" s="132">
        <v>4</v>
      </c>
      <c r="B303" s="133" t="s">
        <v>159</v>
      </c>
      <c r="C303" s="132" t="s">
        <v>98</v>
      </c>
      <c r="D303" s="129">
        <v>0</v>
      </c>
      <c r="E303" s="130">
        <f ca="1" t="shared" si="27"/>
        <v>0</v>
      </c>
      <c r="F303" s="131"/>
    </row>
    <row r="304" customHeight="1" spans="1:6">
      <c r="A304" s="132">
        <v>5</v>
      </c>
      <c r="B304" s="133" t="s">
        <v>129</v>
      </c>
      <c r="C304" s="132" t="s">
        <v>113</v>
      </c>
      <c r="D304" s="129">
        <v>0</v>
      </c>
      <c r="E304" s="130">
        <f ca="1" t="shared" si="27"/>
        <v>0</v>
      </c>
      <c r="F304" s="131"/>
    </row>
    <row r="305" customHeight="1" spans="1:6">
      <c r="A305" s="132">
        <v>6</v>
      </c>
      <c r="B305" s="133" t="s">
        <v>115</v>
      </c>
      <c r="C305" s="132" t="s">
        <v>116</v>
      </c>
      <c r="D305" s="129">
        <v>0</v>
      </c>
      <c r="E305" s="130">
        <f ca="1" t="shared" si="27"/>
        <v>0</v>
      </c>
      <c r="F305" s="131"/>
    </row>
    <row r="306" customHeight="1" spans="1:6">
      <c r="A306" s="118" t="s">
        <v>175</v>
      </c>
      <c r="B306" s="128" t="s">
        <v>379</v>
      </c>
      <c r="C306" s="118" t="s">
        <v>0</v>
      </c>
      <c r="D306" s="129"/>
      <c r="E306" s="130"/>
      <c r="F306" s="131"/>
    </row>
    <row r="307" customHeight="1" spans="1:6">
      <c r="A307" s="132">
        <v>1</v>
      </c>
      <c r="B307" s="133" t="s">
        <v>208</v>
      </c>
      <c r="C307" s="132" t="s">
        <v>57</v>
      </c>
      <c r="D307" s="129">
        <f ca="1">二转材料统计!AG56</f>
        <v>4.6670239318132</v>
      </c>
      <c r="E307" s="130">
        <f ca="1">EVALUATE(D307)</f>
        <v>4.6670239318132</v>
      </c>
      <c r="F307" s="131"/>
    </row>
    <row r="308" customHeight="1" spans="1:6">
      <c r="A308" s="132">
        <v>2</v>
      </c>
      <c r="B308" s="133" t="s">
        <v>209</v>
      </c>
      <c r="C308" s="132" t="s">
        <v>98</v>
      </c>
      <c r="D308" s="129">
        <f ca="1">二转材料统计!AH56</f>
        <v>6.6596062028</v>
      </c>
      <c r="E308" s="130">
        <f ca="1">EVALUATE(D308)</f>
        <v>6.6596062028</v>
      </c>
      <c r="F308" s="131"/>
    </row>
    <row r="309" customHeight="1" spans="1:6">
      <c r="A309" s="132">
        <v>3</v>
      </c>
      <c r="B309" s="133" t="s">
        <v>210</v>
      </c>
      <c r="C309" s="132" t="s">
        <v>98</v>
      </c>
      <c r="D309" s="129">
        <f ca="1">二转材料统计!AI56</f>
        <v>10.4989560592</v>
      </c>
      <c r="E309" s="130">
        <f ca="1">EVALUATE(D309)</f>
        <v>10.4989560592</v>
      </c>
      <c r="F309" s="131"/>
    </row>
    <row r="310" customHeight="1" spans="1:6">
      <c r="A310" s="132">
        <v>4</v>
      </c>
      <c r="B310" s="133" t="s">
        <v>211</v>
      </c>
      <c r="C310" s="132" t="s">
        <v>212</v>
      </c>
      <c r="D310" s="129">
        <f ca="1">二转材料统计!AJ56</f>
        <v>0.32655168</v>
      </c>
      <c r="E310" s="130">
        <f ca="1">EVALUATE(D310)</f>
        <v>0.32655168</v>
      </c>
      <c r="F310" s="131"/>
    </row>
    <row r="311" customHeight="1" spans="1:6">
      <c r="A311" s="132">
        <v>5</v>
      </c>
      <c r="B311" s="133" t="s">
        <v>213</v>
      </c>
      <c r="C311" s="132" t="s">
        <v>57</v>
      </c>
      <c r="D311" s="129">
        <f ca="1">(E305+E274+E298)/1000</f>
        <v>0.52178289</v>
      </c>
      <c r="E311" s="130">
        <f ca="1">EVALUATE(D311)</f>
        <v>0.52178289</v>
      </c>
      <c r="F311" s="131"/>
    </row>
    <row r="312" customHeight="1" spans="1:6">
      <c r="A312" s="118" t="s">
        <v>380</v>
      </c>
      <c r="B312" s="128" t="s">
        <v>381</v>
      </c>
      <c r="C312" s="118" t="s">
        <v>0</v>
      </c>
      <c r="D312" s="129"/>
      <c r="E312" s="130"/>
      <c r="F312" s="131"/>
    </row>
    <row r="313" customHeight="1" spans="1:6">
      <c r="A313" s="118" t="s">
        <v>94</v>
      </c>
      <c r="B313" s="128" t="s">
        <v>376</v>
      </c>
      <c r="C313" s="118" t="s">
        <v>96</v>
      </c>
      <c r="D313" s="129"/>
      <c r="E313" s="130"/>
      <c r="F313" s="131"/>
    </row>
    <row r="314" customHeight="1" spans="1:6">
      <c r="A314" s="132">
        <v>1</v>
      </c>
      <c r="B314" s="133" t="s">
        <v>97</v>
      </c>
      <c r="C314" s="132" t="s">
        <v>98</v>
      </c>
      <c r="D314" s="129" t="s">
        <v>382</v>
      </c>
      <c r="E314" s="130">
        <f ca="1" t="shared" ref="E314:E320" si="28">EVALUATE(D314)</f>
        <v>9.408</v>
      </c>
      <c r="F314" s="131"/>
    </row>
    <row r="315" customHeight="1" spans="1:6">
      <c r="A315" s="132">
        <v>2</v>
      </c>
      <c r="B315" s="133" t="s">
        <v>100</v>
      </c>
      <c r="C315" s="132" t="s">
        <v>98</v>
      </c>
      <c r="D315" s="129" t="s">
        <v>383</v>
      </c>
      <c r="E315" s="130">
        <f ca="1" t="shared" si="28"/>
        <v>6.272</v>
      </c>
      <c r="F315" s="131"/>
    </row>
    <row r="316" customHeight="1" spans="1:6">
      <c r="A316" s="132">
        <v>3</v>
      </c>
      <c r="B316" s="133" t="s">
        <v>155</v>
      </c>
      <c r="C316" s="132" t="s">
        <v>98</v>
      </c>
      <c r="D316" s="129" t="s">
        <v>384</v>
      </c>
      <c r="E316" s="130">
        <f ca="1" t="shared" si="28"/>
        <v>1.458</v>
      </c>
      <c r="F316" s="131"/>
    </row>
    <row r="317" customHeight="1" spans="1:6">
      <c r="A317" s="132">
        <v>4</v>
      </c>
      <c r="B317" s="133" t="s">
        <v>159</v>
      </c>
      <c r="C317" s="132" t="s">
        <v>98</v>
      </c>
      <c r="D317" s="129" t="s">
        <v>385</v>
      </c>
      <c r="E317" s="130">
        <f ca="1" t="shared" si="28"/>
        <v>3.84</v>
      </c>
      <c r="F317" s="131"/>
    </row>
    <row r="318" customHeight="1" spans="1:6">
      <c r="A318" s="132">
        <v>5</v>
      </c>
      <c r="B318" s="133" t="s">
        <v>129</v>
      </c>
      <c r="C318" s="132" t="s">
        <v>113</v>
      </c>
      <c r="D318" s="129" t="s">
        <v>386</v>
      </c>
      <c r="E318" s="130">
        <f ca="1" t="shared" si="28"/>
        <v>18.72</v>
      </c>
      <c r="F318" s="131"/>
    </row>
    <row r="319" customHeight="1" spans="1:6">
      <c r="A319" s="132">
        <v>6</v>
      </c>
      <c r="B319" s="133" t="s">
        <v>112</v>
      </c>
      <c r="C319" s="132" t="s">
        <v>113</v>
      </c>
      <c r="D319" s="129">
        <v>0</v>
      </c>
      <c r="E319" s="130">
        <f ca="1" t="shared" si="28"/>
        <v>0</v>
      </c>
      <c r="F319" s="131"/>
    </row>
    <row r="320" customHeight="1" spans="1:7">
      <c r="A320" s="132">
        <v>7</v>
      </c>
      <c r="B320" s="133" t="s">
        <v>115</v>
      </c>
      <c r="C320" s="132" t="s">
        <v>116</v>
      </c>
      <c r="D320" s="129" t="s">
        <v>387</v>
      </c>
      <c r="E320" s="143">
        <f ca="1" t="shared" si="28"/>
        <v>37.8252</v>
      </c>
      <c r="F320" s="131"/>
      <c r="G320" s="104">
        <f>2.7/0.15</f>
        <v>18</v>
      </c>
    </row>
    <row r="321" customHeight="1" spans="1:6">
      <c r="A321" s="118" t="s">
        <v>152</v>
      </c>
      <c r="B321" s="128" t="s">
        <v>238</v>
      </c>
      <c r="C321" s="118" t="s">
        <v>0</v>
      </c>
      <c r="D321" s="129"/>
      <c r="E321" s="130"/>
      <c r="F321" s="131"/>
    </row>
    <row r="322" customHeight="1" spans="1:6">
      <c r="A322" s="132">
        <v>1</v>
      </c>
      <c r="B322" s="133" t="s">
        <v>97</v>
      </c>
      <c r="C322" s="132" t="s">
        <v>98</v>
      </c>
      <c r="D322" s="129" t="s">
        <v>388</v>
      </c>
      <c r="E322" s="130">
        <f ca="1" t="shared" ref="E322:E330" si="29">EVALUATE(D322)</f>
        <v>4.68</v>
      </c>
      <c r="F322" s="131"/>
    </row>
    <row r="323" customHeight="1" spans="1:6">
      <c r="A323" s="132">
        <v>2</v>
      </c>
      <c r="B323" s="133" t="s">
        <v>100</v>
      </c>
      <c r="C323" s="132" t="s">
        <v>98</v>
      </c>
      <c r="D323" s="129" t="s">
        <v>389</v>
      </c>
      <c r="E323" s="130">
        <f ca="1" t="shared" si="29"/>
        <v>3.12</v>
      </c>
      <c r="F323" s="131"/>
    </row>
    <row r="324" customHeight="1" spans="1:6">
      <c r="A324" s="132">
        <v>3</v>
      </c>
      <c r="B324" s="133" t="s">
        <v>242</v>
      </c>
      <c r="C324" s="132" t="s">
        <v>98</v>
      </c>
      <c r="D324" s="129" t="s">
        <v>390</v>
      </c>
      <c r="E324" s="130">
        <f ca="1" t="shared" si="29"/>
        <v>0.768</v>
      </c>
      <c r="F324" s="131"/>
    </row>
    <row r="325" customHeight="1" spans="1:6">
      <c r="A325" s="132">
        <v>4</v>
      </c>
      <c r="B325" s="133" t="s">
        <v>102</v>
      </c>
      <c r="C325" s="132" t="s">
        <v>98</v>
      </c>
      <c r="D325" s="129" t="s">
        <v>391</v>
      </c>
      <c r="E325" s="130">
        <f ca="1" t="shared" si="29"/>
        <v>7.8</v>
      </c>
      <c r="F325" s="131"/>
    </row>
    <row r="326" customHeight="1" spans="1:6">
      <c r="A326" s="118" t="s">
        <v>392</v>
      </c>
      <c r="B326" s="128" t="s">
        <v>393</v>
      </c>
      <c r="C326" s="118" t="s">
        <v>0</v>
      </c>
      <c r="D326" s="129"/>
      <c r="E326" s="130"/>
      <c r="F326" s="131"/>
    </row>
    <row r="327" customHeight="1" spans="1:6">
      <c r="A327" s="132">
        <v>1</v>
      </c>
      <c r="B327" s="133" t="s">
        <v>394</v>
      </c>
      <c r="C327" s="132" t="s">
        <v>395</v>
      </c>
      <c r="D327" s="129" t="s">
        <v>396</v>
      </c>
      <c r="E327" s="130">
        <f ca="1" t="shared" si="29"/>
        <v>0</v>
      </c>
      <c r="F327" s="122" t="s">
        <v>397</v>
      </c>
    </row>
    <row r="328" customHeight="1" spans="1:6">
      <c r="A328" s="132">
        <v>2</v>
      </c>
      <c r="B328" s="133" t="s">
        <v>398</v>
      </c>
      <c r="C328" s="132" t="s">
        <v>399</v>
      </c>
      <c r="D328" s="129" t="s">
        <v>400</v>
      </c>
      <c r="E328" s="130">
        <f ca="1" t="shared" si="29"/>
        <v>0</v>
      </c>
      <c r="F328" s="122"/>
    </row>
    <row r="329" customHeight="1" spans="1:6">
      <c r="A329" s="132">
        <v>3</v>
      </c>
      <c r="B329" s="133" t="s">
        <v>401</v>
      </c>
      <c r="C329" s="132" t="s">
        <v>138</v>
      </c>
      <c r="D329" s="129" t="s">
        <v>402</v>
      </c>
      <c r="E329" s="130">
        <f ca="1" t="shared" si="29"/>
        <v>0</v>
      </c>
      <c r="F329" s="131"/>
    </row>
    <row r="330" customHeight="1" spans="1:6">
      <c r="A330" s="132">
        <v>4</v>
      </c>
      <c r="B330" s="133" t="s">
        <v>403</v>
      </c>
      <c r="C330" s="132" t="s">
        <v>138</v>
      </c>
      <c r="D330" s="129" t="s">
        <v>404</v>
      </c>
      <c r="E330" s="130">
        <f ca="1" t="shared" si="29"/>
        <v>0</v>
      </c>
      <c r="F330" s="131"/>
    </row>
    <row r="331" customHeight="1" spans="1:6">
      <c r="A331" s="118" t="s">
        <v>15</v>
      </c>
      <c r="B331" s="118" t="s">
        <v>405</v>
      </c>
      <c r="C331" s="118" t="s">
        <v>0</v>
      </c>
      <c r="D331" s="129"/>
      <c r="E331" s="130"/>
      <c r="F331" s="131"/>
    </row>
    <row r="332" customHeight="1" spans="1:6">
      <c r="A332" s="123" t="s">
        <v>92</v>
      </c>
      <c r="B332" s="151" t="s">
        <v>406</v>
      </c>
      <c r="C332" s="123" t="s">
        <v>0</v>
      </c>
      <c r="D332" s="156"/>
      <c r="E332" s="152"/>
      <c r="F332" s="156"/>
    </row>
    <row r="333" customHeight="1" spans="1:6">
      <c r="A333" s="132">
        <v>1</v>
      </c>
      <c r="B333" s="133" t="s">
        <v>407</v>
      </c>
      <c r="C333" s="132" t="s">
        <v>138</v>
      </c>
      <c r="D333" s="129">
        <v>0</v>
      </c>
      <c r="E333" s="130">
        <f ca="1" t="shared" ref="E332:E346" si="30">EVALUATE(D333)</f>
        <v>0</v>
      </c>
      <c r="F333" s="132"/>
    </row>
    <row r="334" customHeight="1" spans="1:6">
      <c r="A334" s="132">
        <v>2</v>
      </c>
      <c r="B334" s="133" t="s">
        <v>408</v>
      </c>
      <c r="C334" s="132" t="s">
        <v>138</v>
      </c>
      <c r="D334" s="129">
        <v>2500</v>
      </c>
      <c r="E334" s="130">
        <f ca="1" t="shared" si="30"/>
        <v>2500</v>
      </c>
      <c r="F334" s="132"/>
    </row>
    <row r="335" customHeight="1" spans="1:6">
      <c r="A335" s="132">
        <v>3</v>
      </c>
      <c r="B335" s="133" t="s">
        <v>409</v>
      </c>
      <c r="C335" s="132" t="s">
        <v>138</v>
      </c>
      <c r="D335" s="129">
        <v>3800</v>
      </c>
      <c r="E335" s="130">
        <f ca="1" t="shared" si="30"/>
        <v>3800</v>
      </c>
      <c r="F335" s="132"/>
    </row>
    <row r="336" customHeight="1" spans="1:6">
      <c r="A336" s="132">
        <v>4</v>
      </c>
      <c r="B336" s="133" t="s">
        <v>410</v>
      </c>
      <c r="C336" s="132" t="s">
        <v>138</v>
      </c>
      <c r="D336" s="129">
        <v>2000</v>
      </c>
      <c r="E336" s="130">
        <f ca="1" t="shared" si="30"/>
        <v>2000</v>
      </c>
      <c r="F336" s="132"/>
    </row>
    <row r="337" customHeight="1" spans="1:6">
      <c r="A337" s="132">
        <v>5</v>
      </c>
      <c r="B337" s="133" t="s">
        <v>411</v>
      </c>
      <c r="C337" s="132" t="s">
        <v>138</v>
      </c>
      <c r="D337" s="129">
        <v>12000</v>
      </c>
      <c r="E337" s="130">
        <f ca="1" t="shared" si="30"/>
        <v>12000</v>
      </c>
      <c r="F337" s="132"/>
    </row>
    <row r="338" customHeight="1" spans="1:6">
      <c r="A338" s="132">
        <v>6</v>
      </c>
      <c r="B338" s="133" t="s">
        <v>412</v>
      </c>
      <c r="C338" s="132" t="s">
        <v>138</v>
      </c>
      <c r="D338" s="129">
        <v>8800</v>
      </c>
      <c r="E338" s="130">
        <f ca="1" t="shared" si="30"/>
        <v>8800</v>
      </c>
      <c r="F338" s="132"/>
    </row>
    <row r="339" customHeight="1" spans="1:6">
      <c r="A339" s="132">
        <v>7</v>
      </c>
      <c r="B339" s="133" t="s">
        <v>413</v>
      </c>
      <c r="C339" s="132" t="s">
        <v>138</v>
      </c>
      <c r="D339" s="129">
        <v>16900</v>
      </c>
      <c r="E339" s="130">
        <f ca="1" t="shared" si="30"/>
        <v>16900</v>
      </c>
      <c r="F339" s="132"/>
    </row>
    <row r="340" customHeight="1" spans="1:6">
      <c r="A340" s="157" t="s">
        <v>35</v>
      </c>
      <c r="B340" s="133" t="s">
        <v>414</v>
      </c>
      <c r="C340" s="132" t="s">
        <v>138</v>
      </c>
      <c r="D340" s="129">
        <v>5088</v>
      </c>
      <c r="E340" s="130">
        <f ca="1" t="shared" si="30"/>
        <v>5088</v>
      </c>
      <c r="F340" s="132"/>
    </row>
    <row r="341" customHeight="1" spans="1:6">
      <c r="A341" s="157" t="s">
        <v>35</v>
      </c>
      <c r="B341" s="133" t="s">
        <v>415</v>
      </c>
      <c r="C341" s="132" t="s">
        <v>138</v>
      </c>
      <c r="D341" s="129">
        <v>4002</v>
      </c>
      <c r="E341" s="130">
        <f ca="1" t="shared" si="30"/>
        <v>4002</v>
      </c>
      <c r="F341" s="132"/>
    </row>
    <row r="342" customHeight="1" spans="1:6">
      <c r="A342" s="132" t="s">
        <v>35</v>
      </c>
      <c r="B342" s="133" t="s">
        <v>416</v>
      </c>
      <c r="C342" s="132" t="s">
        <v>136</v>
      </c>
      <c r="D342" s="129">
        <v>4</v>
      </c>
      <c r="E342" s="130">
        <f ca="1" t="shared" si="30"/>
        <v>4</v>
      </c>
      <c r="F342" s="132"/>
    </row>
    <row r="343" customHeight="1" spans="1:6">
      <c r="A343" s="132" t="s">
        <v>35</v>
      </c>
      <c r="B343" s="133" t="s">
        <v>417</v>
      </c>
      <c r="C343" s="132" t="s">
        <v>136</v>
      </c>
      <c r="D343" s="129">
        <v>2</v>
      </c>
      <c r="E343" s="130">
        <f ca="1" t="shared" si="30"/>
        <v>2</v>
      </c>
      <c r="F343" s="132"/>
    </row>
    <row r="344" customHeight="1" spans="1:6">
      <c r="A344" s="132" t="s">
        <v>35</v>
      </c>
      <c r="B344" s="133" t="s">
        <v>418</v>
      </c>
      <c r="C344" s="132" t="s">
        <v>136</v>
      </c>
      <c r="D344" s="129">
        <v>4</v>
      </c>
      <c r="E344" s="130">
        <f ca="1" t="shared" si="30"/>
        <v>4</v>
      </c>
      <c r="F344" s="132"/>
    </row>
    <row r="345" customHeight="1" spans="1:6">
      <c r="A345" s="132" t="s">
        <v>35</v>
      </c>
      <c r="B345" s="133" t="s">
        <v>419</v>
      </c>
      <c r="C345" s="132" t="s">
        <v>136</v>
      </c>
      <c r="D345" s="129">
        <v>8</v>
      </c>
      <c r="E345" s="130">
        <f ca="1" t="shared" si="30"/>
        <v>8</v>
      </c>
      <c r="F345" s="132"/>
    </row>
    <row r="346" customHeight="1" spans="1:6">
      <c r="A346" s="132" t="s">
        <v>35</v>
      </c>
      <c r="B346" s="133" t="s">
        <v>419</v>
      </c>
      <c r="C346" s="132" t="s">
        <v>136</v>
      </c>
      <c r="D346" s="129">
        <v>10</v>
      </c>
      <c r="E346" s="130">
        <f ca="1" t="shared" si="30"/>
        <v>10</v>
      </c>
      <c r="F346" s="132"/>
    </row>
    <row r="347" customHeight="1" spans="1:6">
      <c r="A347" s="123" t="s">
        <v>214</v>
      </c>
      <c r="B347" s="151" t="s">
        <v>420</v>
      </c>
      <c r="C347" s="123" t="s">
        <v>0</v>
      </c>
      <c r="D347" s="125"/>
      <c r="E347" s="152"/>
      <c r="F347" s="153"/>
    </row>
    <row r="348" customHeight="1" spans="1:6">
      <c r="A348" s="118" t="s">
        <v>421</v>
      </c>
      <c r="B348" s="128" t="s">
        <v>93</v>
      </c>
      <c r="C348" s="118" t="s">
        <v>0</v>
      </c>
      <c r="D348" s="129"/>
      <c r="E348" s="130"/>
      <c r="F348" s="131"/>
    </row>
    <row r="349" customHeight="1" spans="1:6">
      <c r="A349" s="132">
        <v>1</v>
      </c>
      <c r="B349" s="133" t="s">
        <v>422</v>
      </c>
      <c r="C349" s="132" t="s">
        <v>138</v>
      </c>
      <c r="D349" s="129">
        <v>3</v>
      </c>
      <c r="E349" s="130">
        <f ca="1" t="shared" ref="E347:E364" si="31">EVALUATE(D349)</f>
        <v>3</v>
      </c>
      <c r="F349" s="131"/>
    </row>
    <row r="350" customHeight="1" spans="1:6">
      <c r="A350" s="132">
        <v>2</v>
      </c>
      <c r="B350" s="133" t="s">
        <v>416</v>
      </c>
      <c r="C350" s="132" t="s">
        <v>96</v>
      </c>
      <c r="D350" s="129">
        <v>1</v>
      </c>
      <c r="E350" s="130">
        <f ca="1" t="shared" si="31"/>
        <v>1</v>
      </c>
      <c r="F350" s="131"/>
    </row>
    <row r="351" customHeight="1" spans="1:6">
      <c r="A351" s="132">
        <v>3</v>
      </c>
      <c r="B351" s="133" t="s">
        <v>423</v>
      </c>
      <c r="C351" s="132" t="s">
        <v>138</v>
      </c>
      <c r="D351" s="129">
        <v>3</v>
      </c>
      <c r="E351" s="130">
        <f ca="1" t="shared" si="31"/>
        <v>3</v>
      </c>
      <c r="F351" s="131"/>
    </row>
    <row r="352" customHeight="1" spans="1:6">
      <c r="A352" s="132">
        <v>4</v>
      </c>
      <c r="B352" s="133" t="s">
        <v>424</v>
      </c>
      <c r="C352" s="132" t="s">
        <v>96</v>
      </c>
      <c r="D352" s="129">
        <v>1</v>
      </c>
      <c r="E352" s="130">
        <f ca="1" t="shared" si="31"/>
        <v>1</v>
      </c>
      <c r="F352" s="131"/>
    </row>
    <row r="353" customHeight="1" spans="1:6">
      <c r="A353" s="132">
        <v>5</v>
      </c>
      <c r="B353" s="133" t="s">
        <v>425</v>
      </c>
      <c r="C353" s="132" t="s">
        <v>96</v>
      </c>
      <c r="D353" s="129">
        <v>0</v>
      </c>
      <c r="E353" s="130">
        <f ca="1" t="shared" si="31"/>
        <v>0</v>
      </c>
      <c r="F353" s="131"/>
    </row>
    <row r="354" customHeight="1" spans="1:6">
      <c r="A354" s="132">
        <v>6</v>
      </c>
      <c r="B354" s="133" t="s">
        <v>426</v>
      </c>
      <c r="C354" s="132" t="s">
        <v>351</v>
      </c>
      <c r="D354" s="129">
        <v>0</v>
      </c>
      <c r="E354" s="130">
        <f ca="1" t="shared" si="31"/>
        <v>0</v>
      </c>
      <c r="F354" s="131"/>
    </row>
    <row r="355" customHeight="1" spans="1:6">
      <c r="A355" s="132">
        <v>7</v>
      </c>
      <c r="B355" s="133" t="s">
        <v>427</v>
      </c>
      <c r="C355" s="132" t="s">
        <v>96</v>
      </c>
      <c r="D355" s="129">
        <v>1</v>
      </c>
      <c r="E355" s="130">
        <f ca="1" t="shared" si="31"/>
        <v>1</v>
      </c>
      <c r="F355" s="131"/>
    </row>
    <row r="356" customHeight="1" spans="1:6">
      <c r="A356" s="132">
        <v>8</v>
      </c>
      <c r="B356" s="133" t="s">
        <v>428</v>
      </c>
      <c r="C356" s="132" t="s">
        <v>96</v>
      </c>
      <c r="D356" s="129">
        <v>0</v>
      </c>
      <c r="E356" s="130">
        <f ca="1" t="shared" si="31"/>
        <v>0</v>
      </c>
      <c r="F356" s="131"/>
    </row>
    <row r="357" customHeight="1" spans="1:6">
      <c r="A357" s="118" t="s">
        <v>429</v>
      </c>
      <c r="B357" s="128" t="s">
        <v>215</v>
      </c>
      <c r="C357" s="118" t="s">
        <v>0</v>
      </c>
      <c r="D357" s="129"/>
      <c r="E357" s="130"/>
      <c r="F357" s="131"/>
    </row>
    <row r="358" customHeight="1" spans="1:6">
      <c r="A358" s="132">
        <v>1</v>
      </c>
      <c r="B358" s="133" t="s">
        <v>422</v>
      </c>
      <c r="C358" s="132" t="s">
        <v>138</v>
      </c>
      <c r="D358" s="129">
        <v>3</v>
      </c>
      <c r="E358" s="130">
        <f ca="1" t="shared" si="31"/>
        <v>3</v>
      </c>
      <c r="F358" s="131"/>
    </row>
    <row r="359" customHeight="1" spans="1:6">
      <c r="A359" s="132">
        <v>2</v>
      </c>
      <c r="B359" s="133" t="s">
        <v>430</v>
      </c>
      <c r="C359" s="132" t="s">
        <v>96</v>
      </c>
      <c r="D359" s="129">
        <v>1</v>
      </c>
      <c r="E359" s="130">
        <f ca="1" t="shared" si="31"/>
        <v>1</v>
      </c>
      <c r="F359" s="131"/>
    </row>
    <row r="360" customHeight="1" spans="1:6">
      <c r="A360" s="132">
        <v>3</v>
      </c>
      <c r="B360" s="133" t="s">
        <v>423</v>
      </c>
      <c r="C360" s="132" t="s">
        <v>138</v>
      </c>
      <c r="D360" s="129">
        <v>2</v>
      </c>
      <c r="E360" s="130">
        <f ca="1" t="shared" si="31"/>
        <v>2</v>
      </c>
      <c r="F360" s="131"/>
    </row>
    <row r="361" customHeight="1" spans="1:6">
      <c r="A361" s="132">
        <v>4</v>
      </c>
      <c r="B361" s="133" t="s">
        <v>424</v>
      </c>
      <c r="C361" s="132" t="s">
        <v>96</v>
      </c>
      <c r="D361" s="129">
        <v>2</v>
      </c>
      <c r="E361" s="130">
        <f ca="1" t="shared" si="31"/>
        <v>2</v>
      </c>
      <c r="F361" s="131"/>
    </row>
    <row r="362" customHeight="1" spans="1:6">
      <c r="A362" s="132">
        <v>5</v>
      </c>
      <c r="B362" s="133" t="s">
        <v>425</v>
      </c>
      <c r="C362" s="132" t="s">
        <v>96</v>
      </c>
      <c r="D362" s="129">
        <v>0</v>
      </c>
      <c r="E362" s="130">
        <f ca="1" t="shared" si="31"/>
        <v>0</v>
      </c>
      <c r="F362" s="131"/>
    </row>
    <row r="363" customHeight="1" spans="1:6">
      <c r="A363" s="132">
        <v>6</v>
      </c>
      <c r="B363" s="133" t="s">
        <v>426</v>
      </c>
      <c r="C363" s="132" t="s">
        <v>351</v>
      </c>
      <c r="D363" s="129">
        <v>0</v>
      </c>
      <c r="E363" s="130">
        <f ca="1" t="shared" si="31"/>
        <v>0</v>
      </c>
      <c r="F363" s="131"/>
    </row>
    <row r="364" customHeight="1" spans="1:6">
      <c r="A364" s="132">
        <v>7</v>
      </c>
      <c r="B364" s="133" t="s">
        <v>427</v>
      </c>
      <c r="C364" s="132" t="s">
        <v>96</v>
      </c>
      <c r="D364" s="129">
        <v>1</v>
      </c>
      <c r="E364" s="130">
        <f ca="1" t="shared" si="31"/>
        <v>1</v>
      </c>
      <c r="F364" s="131"/>
    </row>
    <row r="365" customHeight="1" spans="1:6">
      <c r="A365" s="118" t="s">
        <v>431</v>
      </c>
      <c r="B365" s="128" t="s">
        <v>266</v>
      </c>
      <c r="C365" s="118" t="s">
        <v>0</v>
      </c>
      <c r="D365" s="129"/>
      <c r="E365" s="130"/>
      <c r="F365" s="131"/>
    </row>
    <row r="366" customHeight="1" spans="1:6">
      <c r="A366" s="132">
        <v>1</v>
      </c>
      <c r="B366" s="133" t="s">
        <v>432</v>
      </c>
      <c r="C366" s="132" t="s">
        <v>138</v>
      </c>
      <c r="D366" s="129">
        <v>3</v>
      </c>
      <c r="E366" s="130">
        <f ca="1">EVALUATE(D366)</f>
        <v>3</v>
      </c>
      <c r="F366" s="131"/>
    </row>
    <row r="367" customHeight="1" spans="1:6">
      <c r="A367" s="132">
        <v>2</v>
      </c>
      <c r="B367" s="133" t="s">
        <v>433</v>
      </c>
      <c r="C367" s="132" t="s">
        <v>96</v>
      </c>
      <c r="D367" s="129">
        <v>1</v>
      </c>
      <c r="E367" s="130">
        <f ca="1" t="shared" ref="E367:E372" si="32">EVALUATE(D367)</f>
        <v>1</v>
      </c>
      <c r="F367" s="131"/>
    </row>
    <row r="368" customHeight="1" spans="1:6">
      <c r="A368" s="132">
        <v>3</v>
      </c>
      <c r="B368" s="133" t="s">
        <v>423</v>
      </c>
      <c r="C368" s="132" t="s">
        <v>138</v>
      </c>
      <c r="D368" s="129">
        <v>2</v>
      </c>
      <c r="E368" s="130">
        <f ca="1" t="shared" si="32"/>
        <v>2</v>
      </c>
      <c r="F368" s="131"/>
    </row>
    <row r="369" customHeight="1" spans="1:6">
      <c r="A369" s="132">
        <v>4</v>
      </c>
      <c r="B369" s="133" t="s">
        <v>424</v>
      </c>
      <c r="C369" s="132" t="s">
        <v>96</v>
      </c>
      <c r="D369" s="129">
        <v>2</v>
      </c>
      <c r="E369" s="130">
        <f ca="1" t="shared" si="32"/>
        <v>2</v>
      </c>
      <c r="F369" s="131"/>
    </row>
    <row r="370" customHeight="1" spans="1:6">
      <c r="A370" s="132">
        <v>5</v>
      </c>
      <c r="B370" s="133" t="s">
        <v>426</v>
      </c>
      <c r="C370" s="132" t="s">
        <v>351</v>
      </c>
      <c r="D370" s="129">
        <v>0</v>
      </c>
      <c r="E370" s="130">
        <f ca="1" t="shared" si="32"/>
        <v>0</v>
      </c>
      <c r="F370" s="131"/>
    </row>
    <row r="371" customHeight="1" spans="1:6">
      <c r="A371" s="132">
        <v>6</v>
      </c>
      <c r="B371" s="133" t="s">
        <v>427</v>
      </c>
      <c r="C371" s="132" t="s">
        <v>96</v>
      </c>
      <c r="D371" s="129">
        <v>1</v>
      </c>
      <c r="E371" s="130">
        <f ca="1" t="shared" si="32"/>
        <v>1</v>
      </c>
      <c r="F371" s="131"/>
    </row>
    <row r="372" customHeight="1" spans="1:6">
      <c r="A372" s="132">
        <v>7</v>
      </c>
      <c r="B372" s="133" t="s">
        <v>425</v>
      </c>
      <c r="C372" s="132" t="s">
        <v>96</v>
      </c>
      <c r="D372" s="129">
        <v>0</v>
      </c>
      <c r="E372" s="130">
        <f ca="1" t="shared" si="32"/>
        <v>0</v>
      </c>
      <c r="F372" s="131"/>
    </row>
    <row r="373" customHeight="1" spans="1:6">
      <c r="A373" s="118" t="s">
        <v>434</v>
      </c>
      <c r="B373" s="128" t="s">
        <v>306</v>
      </c>
      <c r="C373" s="118" t="s">
        <v>0</v>
      </c>
      <c r="D373" s="129"/>
      <c r="E373" s="130"/>
      <c r="F373" s="131"/>
    </row>
    <row r="374" customHeight="1" spans="1:6">
      <c r="A374" s="132">
        <v>1</v>
      </c>
      <c r="B374" s="133" t="s">
        <v>432</v>
      </c>
      <c r="C374" s="132" t="s">
        <v>138</v>
      </c>
      <c r="D374" s="129">
        <v>3</v>
      </c>
      <c r="E374" s="130">
        <f ca="1" t="shared" ref="E374:E380" si="33">EVALUATE(D374)</f>
        <v>3</v>
      </c>
      <c r="F374" s="131"/>
    </row>
    <row r="375" customHeight="1" spans="1:6">
      <c r="A375" s="132">
        <v>2</v>
      </c>
      <c r="B375" s="133" t="s">
        <v>433</v>
      </c>
      <c r="C375" s="132" t="s">
        <v>96</v>
      </c>
      <c r="D375" s="129">
        <v>1</v>
      </c>
      <c r="E375" s="130">
        <f ca="1" t="shared" si="33"/>
        <v>1</v>
      </c>
      <c r="F375" s="131"/>
    </row>
    <row r="376" customHeight="1" spans="1:6">
      <c r="A376" s="132">
        <v>3</v>
      </c>
      <c r="B376" s="133" t="s">
        <v>423</v>
      </c>
      <c r="C376" s="132" t="s">
        <v>138</v>
      </c>
      <c r="D376" s="129">
        <v>2</v>
      </c>
      <c r="E376" s="130">
        <f ca="1" t="shared" si="33"/>
        <v>2</v>
      </c>
      <c r="F376" s="131"/>
    </row>
    <row r="377" customHeight="1" spans="1:6">
      <c r="A377" s="132">
        <v>4</v>
      </c>
      <c r="B377" s="133" t="s">
        <v>424</v>
      </c>
      <c r="C377" s="132" t="s">
        <v>96</v>
      </c>
      <c r="D377" s="129">
        <v>2</v>
      </c>
      <c r="E377" s="130">
        <f ca="1" t="shared" si="33"/>
        <v>2</v>
      </c>
      <c r="F377" s="131"/>
    </row>
    <row r="378" customHeight="1" spans="1:6">
      <c r="A378" s="132">
        <v>5</v>
      </c>
      <c r="B378" s="133" t="s">
        <v>426</v>
      </c>
      <c r="C378" s="132" t="s">
        <v>351</v>
      </c>
      <c r="D378" s="129">
        <v>0</v>
      </c>
      <c r="E378" s="130">
        <f ca="1" t="shared" si="33"/>
        <v>0</v>
      </c>
      <c r="F378" s="131"/>
    </row>
    <row r="379" customHeight="1" spans="1:6">
      <c r="A379" s="132">
        <v>6</v>
      </c>
      <c r="B379" s="133" t="s">
        <v>427</v>
      </c>
      <c r="C379" s="132" t="s">
        <v>96</v>
      </c>
      <c r="D379" s="129">
        <v>1</v>
      </c>
      <c r="E379" s="130">
        <f ca="1" t="shared" si="33"/>
        <v>1</v>
      </c>
      <c r="F379" s="131"/>
    </row>
    <row r="380" customHeight="1" spans="1:6">
      <c r="A380" s="132">
        <v>7</v>
      </c>
      <c r="B380" s="133" t="s">
        <v>425</v>
      </c>
      <c r="C380" s="132" t="s">
        <v>96</v>
      </c>
      <c r="D380" s="129">
        <v>0</v>
      </c>
      <c r="E380" s="130">
        <f ca="1" t="shared" si="33"/>
        <v>0</v>
      </c>
      <c r="F380" s="131"/>
    </row>
    <row r="381" customHeight="1" spans="1:6">
      <c r="A381" s="118" t="s">
        <v>435</v>
      </c>
      <c r="B381" s="128" t="s">
        <v>354</v>
      </c>
      <c r="C381" s="118" t="s">
        <v>0</v>
      </c>
      <c r="D381" s="129"/>
      <c r="E381" s="130"/>
      <c r="F381" s="131"/>
    </row>
    <row r="382" customHeight="1" spans="1:6">
      <c r="A382" s="132">
        <v>1</v>
      </c>
      <c r="B382" s="133" t="s">
        <v>432</v>
      </c>
      <c r="C382" s="132" t="s">
        <v>138</v>
      </c>
      <c r="D382" s="129">
        <v>3</v>
      </c>
      <c r="E382" s="130">
        <f ca="1" t="shared" ref="E382:E388" si="34">EVALUATE(D382)</f>
        <v>3</v>
      </c>
      <c r="F382" s="131"/>
    </row>
    <row r="383" customHeight="1" spans="1:6">
      <c r="A383" s="132">
        <v>2</v>
      </c>
      <c r="B383" s="133" t="s">
        <v>433</v>
      </c>
      <c r="C383" s="132" t="s">
        <v>96</v>
      </c>
      <c r="D383" s="129">
        <v>1</v>
      </c>
      <c r="E383" s="130">
        <f ca="1" t="shared" si="34"/>
        <v>1</v>
      </c>
      <c r="F383" s="132"/>
    </row>
    <row r="384" customHeight="1" spans="1:6">
      <c r="A384" s="132">
        <v>3</v>
      </c>
      <c r="B384" s="133" t="s">
        <v>423</v>
      </c>
      <c r="C384" s="132" t="s">
        <v>138</v>
      </c>
      <c r="D384" s="129">
        <v>2</v>
      </c>
      <c r="E384" s="130">
        <f ca="1" t="shared" si="34"/>
        <v>2</v>
      </c>
      <c r="F384" s="132"/>
    </row>
    <row r="385" customHeight="1" spans="1:6">
      <c r="A385" s="132">
        <v>4</v>
      </c>
      <c r="B385" s="133" t="s">
        <v>424</v>
      </c>
      <c r="C385" s="132" t="s">
        <v>96</v>
      </c>
      <c r="D385" s="129">
        <v>2</v>
      </c>
      <c r="E385" s="130">
        <f ca="1" t="shared" si="34"/>
        <v>2</v>
      </c>
      <c r="F385" s="132"/>
    </row>
    <row r="386" customHeight="1" spans="1:6">
      <c r="A386" s="132">
        <v>5</v>
      </c>
      <c r="B386" s="133" t="s">
        <v>426</v>
      </c>
      <c r="C386" s="132" t="s">
        <v>351</v>
      </c>
      <c r="D386" s="129">
        <v>0</v>
      </c>
      <c r="E386" s="130">
        <f ca="1" t="shared" si="34"/>
        <v>0</v>
      </c>
      <c r="F386" s="132"/>
    </row>
    <row r="387" customHeight="1" spans="1:6">
      <c r="A387" s="132">
        <v>6</v>
      </c>
      <c r="B387" s="133" t="s">
        <v>427</v>
      </c>
      <c r="C387" s="132" t="s">
        <v>96</v>
      </c>
      <c r="D387" s="129">
        <v>1</v>
      </c>
      <c r="E387" s="130">
        <f ca="1" t="shared" si="34"/>
        <v>1</v>
      </c>
      <c r="F387" s="132"/>
    </row>
    <row r="388" customHeight="1" spans="1:6">
      <c r="A388" s="132">
        <v>7</v>
      </c>
      <c r="B388" s="133" t="s">
        <v>425</v>
      </c>
      <c r="C388" s="132" t="s">
        <v>96</v>
      </c>
      <c r="D388" s="129">
        <v>0</v>
      </c>
      <c r="E388" s="130">
        <f ca="1" t="shared" si="34"/>
        <v>0</v>
      </c>
      <c r="F388" s="132"/>
    </row>
    <row r="389" customHeight="1" spans="1:6">
      <c r="A389" s="118" t="s">
        <v>436</v>
      </c>
      <c r="B389" s="128" t="s">
        <v>381</v>
      </c>
      <c r="C389" s="118" t="s">
        <v>0</v>
      </c>
      <c r="D389" s="132"/>
      <c r="E389" s="130"/>
      <c r="F389" s="132"/>
    </row>
    <row r="390" customHeight="1" spans="1:6">
      <c r="A390" s="132">
        <v>1</v>
      </c>
      <c r="B390" s="133" t="s">
        <v>437</v>
      </c>
      <c r="C390" s="132" t="s">
        <v>138</v>
      </c>
      <c r="D390" s="129">
        <v>3</v>
      </c>
      <c r="E390" s="130">
        <f ca="1">EVALUATE(D390)</f>
        <v>3</v>
      </c>
      <c r="F390" s="132"/>
    </row>
    <row r="391" customHeight="1" spans="1:6">
      <c r="A391" s="132">
        <v>2</v>
      </c>
      <c r="B391" s="133" t="s">
        <v>438</v>
      </c>
      <c r="C391" s="132" t="s">
        <v>96</v>
      </c>
      <c r="D391" s="129">
        <v>2</v>
      </c>
      <c r="E391" s="130">
        <f ca="1">EVALUATE(D391)</f>
        <v>2</v>
      </c>
      <c r="F391" s="132"/>
    </row>
    <row r="392" customHeight="1" spans="1:6">
      <c r="A392" s="132">
        <v>3</v>
      </c>
      <c r="B392" s="133" t="s">
        <v>423</v>
      </c>
      <c r="C392" s="132" t="s">
        <v>138</v>
      </c>
      <c r="D392" s="129">
        <v>3</v>
      </c>
      <c r="E392" s="130">
        <f ca="1">EVALUATE(D392)</f>
        <v>3</v>
      </c>
      <c r="F392" s="132"/>
    </row>
    <row r="393" customHeight="1" spans="1:6">
      <c r="A393" s="123" t="s">
        <v>265</v>
      </c>
      <c r="B393" s="151" t="s">
        <v>439</v>
      </c>
      <c r="C393" s="123"/>
      <c r="D393" s="156"/>
      <c r="E393" s="156"/>
      <c r="F393" s="156"/>
    </row>
    <row r="394" customHeight="1" spans="1:6">
      <c r="A394" s="132">
        <v>1</v>
      </c>
      <c r="B394" s="133" t="s">
        <v>408</v>
      </c>
      <c r="C394" s="132" t="s">
        <v>138</v>
      </c>
      <c r="D394" s="129">
        <v>2500</v>
      </c>
      <c r="E394" s="130">
        <f ca="1" t="shared" ref="E394:E403" si="35">EVALUATE(D394)</f>
        <v>2500</v>
      </c>
      <c r="F394" s="132"/>
    </row>
    <row r="395" customHeight="1" spans="1:6">
      <c r="A395" s="132">
        <v>2</v>
      </c>
      <c r="B395" s="133" t="s">
        <v>409</v>
      </c>
      <c r="C395" s="132" t="s">
        <v>138</v>
      </c>
      <c r="D395" s="129">
        <v>3800</v>
      </c>
      <c r="E395" s="130">
        <f ca="1" t="shared" si="35"/>
        <v>3800</v>
      </c>
      <c r="F395" s="132"/>
    </row>
    <row r="396" customHeight="1" spans="1:6">
      <c r="A396" s="132">
        <v>3</v>
      </c>
      <c r="B396" s="133" t="s">
        <v>410</v>
      </c>
      <c r="C396" s="132" t="s">
        <v>138</v>
      </c>
      <c r="D396" s="129">
        <v>2000</v>
      </c>
      <c r="E396" s="130">
        <f ca="1" t="shared" si="35"/>
        <v>2000</v>
      </c>
      <c r="F396" s="132"/>
    </row>
    <row r="397" customHeight="1" spans="1:6">
      <c r="A397" s="132">
        <v>4</v>
      </c>
      <c r="B397" s="133" t="s">
        <v>411</v>
      </c>
      <c r="C397" s="132" t="s">
        <v>138</v>
      </c>
      <c r="D397" s="129">
        <v>12000</v>
      </c>
      <c r="E397" s="130">
        <f ca="1" t="shared" si="35"/>
        <v>12000</v>
      </c>
      <c r="F397" s="132"/>
    </row>
    <row r="398" customHeight="1" spans="1:6">
      <c r="A398" s="132">
        <v>5</v>
      </c>
      <c r="B398" s="133" t="s">
        <v>412</v>
      </c>
      <c r="C398" s="132" t="s">
        <v>138</v>
      </c>
      <c r="D398" s="129">
        <v>8800</v>
      </c>
      <c r="E398" s="130">
        <f ca="1" t="shared" si="35"/>
        <v>8800</v>
      </c>
      <c r="F398" s="132"/>
    </row>
    <row r="399" customHeight="1" spans="1:6">
      <c r="A399" s="132">
        <v>6</v>
      </c>
      <c r="B399" s="133" t="s">
        <v>413</v>
      </c>
      <c r="C399" s="132" t="s">
        <v>138</v>
      </c>
      <c r="D399" s="129">
        <v>16900</v>
      </c>
      <c r="E399" s="130">
        <f ca="1" t="shared" si="35"/>
        <v>16900</v>
      </c>
      <c r="F399" s="132"/>
    </row>
    <row r="400" customHeight="1" spans="1:6">
      <c r="A400" s="132">
        <v>7</v>
      </c>
      <c r="B400" s="133" t="s">
        <v>440</v>
      </c>
      <c r="C400" s="132" t="s">
        <v>441</v>
      </c>
      <c r="D400" s="129">
        <v>0</v>
      </c>
      <c r="E400" s="130">
        <f ca="1" t="shared" si="35"/>
        <v>0</v>
      </c>
      <c r="F400" s="132"/>
    </row>
    <row r="401" customHeight="1" spans="1:6">
      <c r="A401" s="132">
        <v>8</v>
      </c>
      <c r="B401" s="133" t="s">
        <v>407</v>
      </c>
      <c r="C401" s="132" t="s">
        <v>138</v>
      </c>
      <c r="D401" s="129">
        <v>0</v>
      </c>
      <c r="E401" s="130">
        <f ca="1" t="shared" si="35"/>
        <v>0</v>
      </c>
      <c r="F401" s="132"/>
    </row>
    <row r="402" customHeight="1" spans="1:6">
      <c r="A402" s="132" t="s">
        <v>35</v>
      </c>
      <c r="B402" s="133" t="s">
        <v>414</v>
      </c>
      <c r="C402" s="132" t="s">
        <v>138</v>
      </c>
      <c r="D402" s="129" t="s">
        <v>442</v>
      </c>
      <c r="E402" s="130">
        <f ca="1" t="shared" si="35"/>
        <v>0</v>
      </c>
      <c r="F402" s="132"/>
    </row>
    <row r="403" customHeight="1" spans="1:6">
      <c r="A403" s="132" t="s">
        <v>35</v>
      </c>
      <c r="B403" s="133" t="s">
        <v>415</v>
      </c>
      <c r="C403" s="132" t="s">
        <v>138</v>
      </c>
      <c r="D403" s="129" t="s">
        <v>443</v>
      </c>
      <c r="E403" s="130">
        <f ca="1" t="shared" si="35"/>
        <v>0</v>
      </c>
      <c r="F403" s="132"/>
    </row>
  </sheetData>
  <autoFilter xmlns:etc="http://www.wps.cn/officeDocument/2017/etCustomData" ref="A1:K403" etc:filterBottomFollowUsedRange="0">
    <extLst/>
  </autoFilter>
  <mergeCells count="12">
    <mergeCell ref="A1:F1"/>
    <mergeCell ref="A2:F2"/>
    <mergeCell ref="A10:A13"/>
    <mergeCell ref="A65:A67"/>
    <mergeCell ref="A72:A75"/>
    <mergeCell ref="A91:A94"/>
    <mergeCell ref="A154:A157"/>
    <mergeCell ref="A220:A221"/>
    <mergeCell ref="A269:A271"/>
    <mergeCell ref="B65:B67"/>
    <mergeCell ref="B72:B75"/>
    <mergeCell ref="F327:F328"/>
  </mergeCells>
  <pageMargins left="0.550694444444444" right="0.472222222222222" top="0.432638888888889" bottom="0.708333333333333" header="0.275" footer="0.432638888888889"/>
  <pageSetup paperSize="9" scale="79" fitToHeight="0" orientation="portrait" horizontalDpi="600"/>
  <headerFooter>
    <oddFooter>&amp;L&amp;9建设单位：&amp;C&amp;9施工单位：&amp;R&amp;9第&amp;P页 共&amp;N页</oddFooter>
  </headerFooter>
  <ignoredErrors>
    <ignoredError sqref="E1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66"/>
  <sheetViews>
    <sheetView zoomScale="85" zoomScaleNormal="85" workbookViewId="0">
      <selection activeCell="U9" sqref="U9"/>
    </sheetView>
  </sheetViews>
  <sheetFormatPr defaultColWidth="9" defaultRowHeight="14.25"/>
  <cols>
    <col min="1" max="1" width="18.75" style="30" customWidth="1"/>
    <col min="2" max="2" width="4.125" style="30" customWidth="1"/>
    <col min="3" max="3" width="6.375" style="30" customWidth="1"/>
    <col min="4" max="4" width="7.375" style="30" customWidth="1"/>
    <col min="5" max="5" width="7" style="30" customWidth="1"/>
    <col min="6" max="6" width="7.125" style="30" customWidth="1"/>
    <col min="7" max="7" width="7.75" style="30" customWidth="1"/>
    <col min="8" max="26" width="6.625" style="30" customWidth="1"/>
    <col min="27" max="28" width="9" style="30"/>
    <col min="29" max="29" width="8.08333333333333" style="30" customWidth="1"/>
    <col min="30" max="30" width="7.2" style="30" customWidth="1"/>
    <col min="31" max="32" width="9" style="30"/>
    <col min="33" max="33" width="8.5" style="30" customWidth="1"/>
    <col min="34" max="37" width="9" style="30" customWidth="1"/>
    <col min="38" max="244" width="9" style="30"/>
    <col min="245" max="16384" width="9" style="32"/>
  </cols>
  <sheetData>
    <row r="1" s="30" customFormat="1" ht="21" spans="1:32">
      <c r="A1" s="33" t="s">
        <v>444</v>
      </c>
      <c r="B1" s="34"/>
      <c r="C1" s="34"/>
      <c r="D1" s="34"/>
      <c r="E1" s="34"/>
      <c r="F1" s="34"/>
      <c r="G1" s="34"/>
      <c r="H1" s="35"/>
      <c r="I1" s="59" t="s">
        <v>93</v>
      </c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60"/>
    </row>
    <row r="2" s="30" customFormat="1" ht="14" customHeight="1" spans="1:32">
      <c r="A2" s="36" t="s">
        <v>22</v>
      </c>
      <c r="B2" s="37"/>
      <c r="C2" s="37"/>
      <c r="D2" s="37"/>
      <c r="E2" s="37"/>
      <c r="F2" s="37"/>
      <c r="G2" s="37"/>
      <c r="H2" s="38"/>
      <c r="I2" s="67" t="s">
        <v>445</v>
      </c>
      <c r="J2" s="68"/>
      <c r="K2" s="68"/>
      <c r="L2" s="68"/>
      <c r="M2" s="68"/>
      <c r="N2" s="69"/>
      <c r="O2" s="70" t="s">
        <v>95</v>
      </c>
      <c r="P2" s="68"/>
      <c r="Q2" s="68"/>
      <c r="R2" s="68"/>
      <c r="S2" s="68"/>
      <c r="T2" s="69"/>
      <c r="U2" s="70" t="s">
        <v>446</v>
      </c>
      <c r="V2" s="68"/>
      <c r="W2" s="68"/>
      <c r="X2" s="68"/>
      <c r="Y2" s="68"/>
      <c r="Z2" s="69"/>
      <c r="AA2" s="70" t="s">
        <v>187</v>
      </c>
      <c r="AB2" s="68"/>
      <c r="AC2" s="68"/>
      <c r="AD2" s="68"/>
      <c r="AE2" s="68"/>
      <c r="AF2" s="69"/>
    </row>
    <row r="3" s="30" customFormat="1" ht="20" customHeight="1" spans="1:37">
      <c r="A3" s="39" t="s">
        <v>447</v>
      </c>
      <c r="B3" s="40" t="s">
        <v>25</v>
      </c>
      <c r="C3" s="41" t="s">
        <v>91</v>
      </c>
      <c r="D3" s="42" t="s">
        <v>448</v>
      </c>
      <c r="E3" s="42"/>
      <c r="F3" s="42"/>
      <c r="G3" s="42"/>
      <c r="H3" s="43"/>
      <c r="I3" s="71" t="s">
        <v>91</v>
      </c>
      <c r="J3" s="72" t="s">
        <v>449</v>
      </c>
      <c r="K3" s="72"/>
      <c r="L3" s="72"/>
      <c r="M3" s="72"/>
      <c r="N3" s="73"/>
      <c r="O3" s="74" t="s">
        <v>91</v>
      </c>
      <c r="P3" s="72" t="s">
        <v>449</v>
      </c>
      <c r="Q3" s="72"/>
      <c r="R3" s="72"/>
      <c r="S3" s="72"/>
      <c r="T3" s="73"/>
      <c r="U3" s="74" t="s">
        <v>91</v>
      </c>
      <c r="V3" s="72" t="s">
        <v>449</v>
      </c>
      <c r="W3" s="72"/>
      <c r="X3" s="72"/>
      <c r="Y3" s="72"/>
      <c r="Z3" s="73"/>
      <c r="AA3" s="71" t="s">
        <v>91</v>
      </c>
      <c r="AB3" s="72" t="s">
        <v>449</v>
      </c>
      <c r="AC3" s="72"/>
      <c r="AD3" s="72"/>
      <c r="AE3" s="72"/>
      <c r="AF3" s="73"/>
      <c r="AG3" s="99" t="s">
        <v>450</v>
      </c>
      <c r="AH3" s="99"/>
      <c r="AI3" s="99"/>
      <c r="AJ3" s="99"/>
      <c r="AK3" s="99"/>
    </row>
    <row r="4" s="30" customFormat="1" ht="24" customHeight="1" spans="1:37">
      <c r="A4" s="39"/>
      <c r="B4" s="40"/>
      <c r="C4" s="41"/>
      <c r="D4" s="42" t="s">
        <v>451</v>
      </c>
      <c r="E4" s="42" t="s">
        <v>452</v>
      </c>
      <c r="F4" s="42" t="s">
        <v>453</v>
      </c>
      <c r="G4" s="44" t="s">
        <v>454</v>
      </c>
      <c r="H4" s="43" t="s">
        <v>455</v>
      </c>
      <c r="I4" s="71"/>
      <c r="J4" s="72" t="s">
        <v>456</v>
      </c>
      <c r="K4" s="72" t="s">
        <v>452</v>
      </c>
      <c r="L4" s="72" t="s">
        <v>453</v>
      </c>
      <c r="M4" s="72" t="s">
        <v>454</v>
      </c>
      <c r="N4" s="73" t="s">
        <v>455</v>
      </c>
      <c r="O4" s="74"/>
      <c r="P4" s="72" t="s">
        <v>456</v>
      </c>
      <c r="Q4" s="72" t="s">
        <v>452</v>
      </c>
      <c r="R4" s="72" t="s">
        <v>453</v>
      </c>
      <c r="S4" s="72" t="s">
        <v>454</v>
      </c>
      <c r="T4" s="73" t="s">
        <v>455</v>
      </c>
      <c r="U4" s="74"/>
      <c r="V4" s="72" t="s">
        <v>456</v>
      </c>
      <c r="W4" s="72" t="s">
        <v>452</v>
      </c>
      <c r="X4" s="72" t="s">
        <v>453</v>
      </c>
      <c r="Y4" s="72" t="s">
        <v>454</v>
      </c>
      <c r="Z4" s="73" t="s">
        <v>455</v>
      </c>
      <c r="AA4" s="71"/>
      <c r="AB4" s="72" t="s">
        <v>456</v>
      </c>
      <c r="AC4" s="72" t="s">
        <v>452</v>
      </c>
      <c r="AD4" s="72" t="s">
        <v>453</v>
      </c>
      <c r="AE4" s="72" t="s">
        <v>454</v>
      </c>
      <c r="AF4" s="73" t="s">
        <v>455</v>
      </c>
      <c r="AG4" s="72" t="s">
        <v>456</v>
      </c>
      <c r="AH4" s="72" t="s">
        <v>452</v>
      </c>
      <c r="AI4" s="72" t="s">
        <v>453</v>
      </c>
      <c r="AJ4" s="72" t="s">
        <v>454</v>
      </c>
      <c r="AK4" s="72" t="s">
        <v>455</v>
      </c>
    </row>
    <row r="5" s="30" customFormat="1" ht="14" customHeight="1" spans="1:37">
      <c r="A5" s="45" t="s">
        <v>457</v>
      </c>
      <c r="B5" s="46" t="s">
        <v>98</v>
      </c>
      <c r="C5" s="46">
        <v>1</v>
      </c>
      <c r="D5" s="47">
        <v>350.3576</v>
      </c>
      <c r="E5" s="47">
        <v>0.544</v>
      </c>
      <c r="F5" s="47">
        <v>0.8666</v>
      </c>
      <c r="G5" s="47"/>
      <c r="H5" s="48"/>
      <c r="I5" s="75">
        <f ca="1">工程量计算稿!E36</f>
        <v>0.34</v>
      </c>
      <c r="J5" s="76">
        <f ca="1" t="shared" ref="J5:J7" si="0">D5*I5/1000</f>
        <v>0.119121584</v>
      </c>
      <c r="K5" s="77">
        <f ca="1" t="shared" ref="K5:K7" si="1">I5*E5</f>
        <v>0.18496</v>
      </c>
      <c r="L5" s="77">
        <f ca="1">I5*F5</f>
        <v>0.294644</v>
      </c>
      <c r="M5" s="77"/>
      <c r="N5" s="78"/>
      <c r="O5" s="79">
        <f ca="1">工程量计算稿!E29</f>
        <v>1.767</v>
      </c>
      <c r="P5" s="76">
        <f ca="1" t="shared" ref="P5:P12" si="2">D5*O5/1000</f>
        <v>0.6190818792</v>
      </c>
      <c r="Q5" s="77">
        <f ca="1" t="shared" ref="Q5:Q12" si="3">O5*E5</f>
        <v>0.961248</v>
      </c>
      <c r="R5" s="77">
        <f ca="1">O5*F5</f>
        <v>1.5312822</v>
      </c>
      <c r="S5" s="77"/>
      <c r="T5" s="78"/>
      <c r="U5" s="79"/>
      <c r="V5" s="76">
        <f t="shared" ref="V5:V12" si="4">D5*U5/1000</f>
        <v>0</v>
      </c>
      <c r="W5" s="77">
        <f t="shared" ref="W5:W12" si="5">U5*E5</f>
        <v>0</v>
      </c>
      <c r="X5" s="77">
        <f>U5*F5</f>
        <v>0</v>
      </c>
      <c r="Y5" s="77"/>
      <c r="Z5" s="78"/>
      <c r="AA5" s="75">
        <f ca="1">工程量计算稿!E65+工程量计算稿!E72+工程量计算稿!E76</f>
        <v>19.18148725</v>
      </c>
      <c r="AB5" s="76">
        <f ca="1" t="shared" ref="AB5:AB11" si="6">D5*AA5/1000</f>
        <v>6.7203798373406</v>
      </c>
      <c r="AC5" s="77">
        <f ca="1" t="shared" ref="AC5:AC11" si="7">AA5*E5</f>
        <v>10.434729064</v>
      </c>
      <c r="AD5" s="77">
        <f ca="1">AA5*F5</f>
        <v>16.62267685085</v>
      </c>
      <c r="AE5" s="77"/>
      <c r="AF5" s="78"/>
      <c r="AG5" s="100">
        <f ca="1">J15+P15+V15+AB15</f>
        <v>17.6195480710413</v>
      </c>
      <c r="AH5" s="100">
        <f ca="1" t="shared" ref="AG5:AK5" si="8">K15+Q15+W15+AC15</f>
        <v>26.6047188893</v>
      </c>
      <c r="AI5" s="100">
        <f ca="1" t="shared" si="8"/>
        <v>40.57453632505</v>
      </c>
      <c r="AJ5" s="100">
        <f ca="1" t="shared" si="8"/>
        <v>2.19614976</v>
      </c>
      <c r="AK5" s="100">
        <f ca="1" t="shared" si="8"/>
        <v>9.383936</v>
      </c>
    </row>
    <row r="6" s="30" customFormat="1" ht="14" customHeight="1" spans="1:32">
      <c r="A6" s="45" t="s">
        <v>458</v>
      </c>
      <c r="B6" s="46" t="s">
        <v>98</v>
      </c>
      <c r="C6" s="46">
        <v>1</v>
      </c>
      <c r="D6" s="47">
        <v>375.8161</v>
      </c>
      <c r="E6" s="47">
        <v>0.5219</v>
      </c>
      <c r="F6" s="47">
        <v>0.8666</v>
      </c>
      <c r="G6" s="47"/>
      <c r="H6" s="48"/>
      <c r="I6" s="75">
        <f ca="1">工程量计算稿!E37</f>
        <v>0.034</v>
      </c>
      <c r="J6" s="76">
        <f ca="1" t="shared" si="0"/>
        <v>0.0127777474</v>
      </c>
      <c r="K6" s="77">
        <f ca="1" t="shared" si="1"/>
        <v>0.0177446</v>
      </c>
      <c r="L6" s="77">
        <f ca="1">I6*F6</f>
        <v>0.0294644</v>
      </c>
      <c r="M6" s="77"/>
      <c r="N6" s="78"/>
      <c r="O6" s="79">
        <f ca="1">工程量计算稿!E10+工程量计算稿!E13+工程量计算稿!E11+工程量计算稿!E12</f>
        <v>24.940287</v>
      </c>
      <c r="P6" s="76">
        <f ca="1" t="shared" si="2"/>
        <v>9.3729613932207</v>
      </c>
      <c r="Q6" s="77">
        <f ca="1" t="shared" si="3"/>
        <v>13.0163357853</v>
      </c>
      <c r="R6" s="77">
        <f ca="1">O6*F6</f>
        <v>21.6132527142</v>
      </c>
      <c r="S6" s="77"/>
      <c r="T6" s="78"/>
      <c r="U6" s="79">
        <f ca="1">工程量计算稿!E57+工程量计算稿!E60</f>
        <v>0.5576</v>
      </c>
      <c r="V6" s="76">
        <f ca="1" t="shared" si="4"/>
        <v>0.20955505736</v>
      </c>
      <c r="W6" s="77">
        <f ca="1" t="shared" si="5"/>
        <v>0.29101144</v>
      </c>
      <c r="X6" s="77">
        <f ca="1">U6*F6</f>
        <v>0.48321616</v>
      </c>
      <c r="Y6" s="77"/>
      <c r="Z6" s="78"/>
      <c r="AA6" s="75"/>
      <c r="AB6" s="76">
        <f t="shared" si="6"/>
        <v>0</v>
      </c>
      <c r="AC6" s="77">
        <f t="shared" si="7"/>
        <v>0</v>
      </c>
      <c r="AD6" s="77">
        <f>AA6*F6</f>
        <v>0</v>
      </c>
      <c r="AE6" s="77"/>
      <c r="AF6" s="78"/>
    </row>
    <row r="7" s="30" customFormat="1" ht="14" customHeight="1" spans="1:32">
      <c r="A7" s="45" t="s">
        <v>459</v>
      </c>
      <c r="B7" s="46" t="s">
        <v>98</v>
      </c>
      <c r="C7" s="46">
        <v>1</v>
      </c>
      <c r="D7" s="47">
        <v>66.033</v>
      </c>
      <c r="E7" s="47">
        <v>0.25</v>
      </c>
      <c r="F7" s="47"/>
      <c r="G7" s="47">
        <f>534/1000</f>
        <v>0.534</v>
      </c>
      <c r="H7" s="48"/>
      <c r="I7" s="75">
        <f ca="1">工程量计算稿!E38</f>
        <v>1.5456</v>
      </c>
      <c r="J7" s="76">
        <f ca="1" t="shared" si="0"/>
        <v>0.1020606048</v>
      </c>
      <c r="K7" s="77">
        <f ca="1" t="shared" si="1"/>
        <v>0.3864</v>
      </c>
      <c r="L7" s="77"/>
      <c r="M7" s="77">
        <f ca="1">I7*G7</f>
        <v>0.8253504</v>
      </c>
      <c r="N7" s="78"/>
      <c r="O7" s="79">
        <f ca="1">工程量计算稿!E14</f>
        <v>0</v>
      </c>
      <c r="P7" s="76">
        <f ca="1" t="shared" si="2"/>
        <v>0</v>
      </c>
      <c r="Q7" s="77">
        <f ca="1" t="shared" si="3"/>
        <v>0</v>
      </c>
      <c r="R7" s="77"/>
      <c r="S7" s="77">
        <f ca="1">O7*G7</f>
        <v>0</v>
      </c>
      <c r="T7" s="78"/>
      <c r="U7" s="79">
        <f ca="1">工程量计算稿!E58</f>
        <v>1.3536</v>
      </c>
      <c r="V7" s="76">
        <f ca="1" t="shared" si="4"/>
        <v>0.0893822688</v>
      </c>
      <c r="W7" s="77">
        <f ca="1" t="shared" si="5"/>
        <v>0.3384</v>
      </c>
      <c r="X7" s="77"/>
      <c r="Y7" s="77">
        <f ca="1">U7*G7</f>
        <v>0.7228224</v>
      </c>
      <c r="Z7" s="78"/>
      <c r="AA7" s="75">
        <f ca="1">工程量计算稿!E69</f>
        <v>1.21344</v>
      </c>
      <c r="AB7" s="76">
        <f ca="1" t="shared" si="6"/>
        <v>0.08012708352</v>
      </c>
      <c r="AC7" s="77">
        <f ca="1" t="shared" si="7"/>
        <v>0.30336</v>
      </c>
      <c r="AD7" s="77"/>
      <c r="AE7" s="77">
        <f ca="1">AA7*G7</f>
        <v>0.64797696</v>
      </c>
      <c r="AF7" s="78"/>
    </row>
    <row r="8" s="30" customFormat="1" ht="14" customHeight="1" spans="1:32">
      <c r="A8" s="49" t="s">
        <v>460</v>
      </c>
      <c r="B8" s="46" t="s">
        <v>98</v>
      </c>
      <c r="C8" s="46">
        <v>1</v>
      </c>
      <c r="D8" s="47">
        <f>34.4/100*261</f>
        <v>89.784</v>
      </c>
      <c r="E8" s="47">
        <f>34.4/100*1.11</f>
        <v>0.38184</v>
      </c>
      <c r="F8" s="47"/>
      <c r="G8" s="47"/>
      <c r="H8" s="48">
        <f>108/100</f>
        <v>1.08</v>
      </c>
      <c r="I8" s="75"/>
      <c r="J8" s="76"/>
      <c r="K8" s="77"/>
      <c r="L8" s="77"/>
      <c r="M8" s="77"/>
      <c r="N8" s="78"/>
      <c r="O8" s="79"/>
      <c r="P8" s="76">
        <f t="shared" si="2"/>
        <v>0</v>
      </c>
      <c r="Q8" s="77">
        <f t="shared" si="3"/>
        <v>0</v>
      </c>
      <c r="R8" s="77"/>
      <c r="S8" s="77"/>
      <c r="T8" s="78"/>
      <c r="U8" s="79"/>
      <c r="V8" s="76">
        <f t="shared" si="4"/>
        <v>0</v>
      </c>
      <c r="W8" s="77">
        <f t="shared" si="5"/>
        <v>0</v>
      </c>
      <c r="X8" s="77"/>
      <c r="Y8" s="77"/>
      <c r="Z8" s="78"/>
      <c r="AA8" s="75"/>
      <c r="AB8" s="76">
        <f t="shared" si="6"/>
        <v>0</v>
      </c>
      <c r="AC8" s="77">
        <f t="shared" si="7"/>
        <v>0</v>
      </c>
      <c r="AD8" s="77"/>
      <c r="AE8" s="77"/>
      <c r="AF8" s="78">
        <f>AA8*H8</f>
        <v>0</v>
      </c>
    </row>
    <row r="9" s="30" customFormat="1" ht="14" customHeight="1" spans="1:32">
      <c r="A9" s="45" t="s">
        <v>461</v>
      </c>
      <c r="B9" s="46" t="s">
        <v>98</v>
      </c>
      <c r="C9" s="46">
        <v>1</v>
      </c>
      <c r="D9" s="47">
        <v>7.717</v>
      </c>
      <c r="E9" s="47">
        <v>0.02</v>
      </c>
      <c r="F9" s="47"/>
      <c r="G9" s="47"/>
      <c r="H9" s="48"/>
      <c r="I9" s="75">
        <f ca="1">工程量计算稿!E41</f>
        <v>7.776</v>
      </c>
      <c r="J9" s="76">
        <f ca="1" t="shared" ref="J9:J12" si="9">D9*I9/1000</f>
        <v>0.060007392</v>
      </c>
      <c r="K9" s="77">
        <f ca="1" t="shared" ref="K9:K13" si="10">I9*E9</f>
        <v>0.15552</v>
      </c>
      <c r="L9" s="77"/>
      <c r="M9" s="77"/>
      <c r="N9" s="78"/>
      <c r="O9" s="79">
        <f ca="1">工程量计算稿!E21</f>
        <v>0</v>
      </c>
      <c r="P9" s="76">
        <f ca="1" t="shared" si="2"/>
        <v>0</v>
      </c>
      <c r="Q9" s="77">
        <f ca="1" t="shared" si="3"/>
        <v>0</v>
      </c>
      <c r="R9" s="77"/>
      <c r="S9" s="77"/>
      <c r="T9" s="78"/>
      <c r="U9" s="79">
        <f ca="1">工程量计算稿!E59</f>
        <v>7.2072</v>
      </c>
      <c r="V9" s="76">
        <f ca="1" t="shared" si="4"/>
        <v>0.0556179624</v>
      </c>
      <c r="W9" s="77">
        <f ca="1" t="shared" si="5"/>
        <v>0.144144</v>
      </c>
      <c r="X9" s="77"/>
      <c r="Y9" s="77"/>
      <c r="Z9" s="78"/>
      <c r="AA9" s="75">
        <f ca="1">工程量计算稿!E70</f>
        <v>9.638</v>
      </c>
      <c r="AB9" s="76">
        <f ca="1" t="shared" si="6"/>
        <v>0.074376446</v>
      </c>
      <c r="AC9" s="77">
        <f ca="1" t="shared" si="7"/>
        <v>0.19276</v>
      </c>
      <c r="AD9" s="77"/>
      <c r="AE9" s="77"/>
      <c r="AF9" s="78"/>
    </row>
    <row r="10" s="30" customFormat="1" ht="14" customHeight="1" spans="1:32">
      <c r="A10" s="45" t="s">
        <v>172</v>
      </c>
      <c r="B10" s="46" t="s">
        <v>113</v>
      </c>
      <c r="C10" s="46">
        <v>1</v>
      </c>
      <c r="D10" s="47">
        <f>403.17/100+99.48/100</f>
        <v>5.0265</v>
      </c>
      <c r="E10" s="47">
        <f>0.77/100+0.09/100</f>
        <v>0.0086</v>
      </c>
      <c r="F10" s="47"/>
      <c r="G10" s="47"/>
      <c r="H10" s="48"/>
      <c r="I10" s="75"/>
      <c r="J10" s="76">
        <f t="shared" si="9"/>
        <v>0</v>
      </c>
      <c r="K10" s="77">
        <f t="shared" si="10"/>
        <v>0</v>
      </c>
      <c r="L10" s="77"/>
      <c r="M10" s="77"/>
      <c r="N10" s="78"/>
      <c r="O10" s="79">
        <f ca="1">工程量计算稿!E22</f>
        <v>20.71</v>
      </c>
      <c r="P10" s="76">
        <f ca="1" t="shared" si="2"/>
        <v>0.104098815</v>
      </c>
      <c r="Q10" s="77">
        <f ca="1" t="shared" si="3"/>
        <v>0.178106</v>
      </c>
      <c r="R10" s="77"/>
      <c r="S10" s="77"/>
      <c r="T10" s="78"/>
      <c r="U10" s="79"/>
      <c r="V10" s="76">
        <f t="shared" si="4"/>
        <v>0</v>
      </c>
      <c r="W10" s="77">
        <f t="shared" si="5"/>
        <v>0</v>
      </c>
      <c r="X10" s="77"/>
      <c r="Y10" s="77"/>
      <c r="Z10" s="78"/>
      <c r="AA10" s="75"/>
      <c r="AB10" s="76">
        <f t="shared" si="6"/>
        <v>0</v>
      </c>
      <c r="AC10" s="77">
        <f t="shared" si="7"/>
        <v>0</v>
      </c>
      <c r="AD10" s="77"/>
      <c r="AE10" s="77"/>
      <c r="AF10" s="78"/>
    </row>
    <row r="11" s="30" customFormat="1" ht="14" customHeight="1" spans="1:32">
      <c r="A11" s="49" t="s">
        <v>462</v>
      </c>
      <c r="B11" s="46" t="s">
        <v>113</v>
      </c>
      <c r="C11" s="46">
        <v>1</v>
      </c>
      <c r="D11" s="47">
        <v>52.043</v>
      </c>
      <c r="E11" s="47">
        <v>0.081</v>
      </c>
      <c r="F11" s="47">
        <v>0.129</v>
      </c>
      <c r="G11" s="47"/>
      <c r="H11" s="48"/>
      <c r="I11" s="75"/>
      <c r="J11" s="76">
        <f t="shared" si="9"/>
        <v>0</v>
      </c>
      <c r="K11" s="77"/>
      <c r="L11" s="77"/>
      <c r="M11" s="77"/>
      <c r="N11" s="78"/>
      <c r="O11" s="79"/>
      <c r="P11" s="76">
        <f t="shared" si="2"/>
        <v>0</v>
      </c>
      <c r="Q11" s="77">
        <f t="shared" si="3"/>
        <v>0</v>
      </c>
      <c r="R11" s="77">
        <f>O11*F11</f>
        <v>0</v>
      </c>
      <c r="S11" s="77"/>
      <c r="T11" s="78"/>
      <c r="U11" s="79"/>
      <c r="V11" s="76">
        <f t="shared" si="4"/>
        <v>0</v>
      </c>
      <c r="W11" s="77">
        <f t="shared" si="5"/>
        <v>0</v>
      </c>
      <c r="X11" s="77"/>
      <c r="Y11" s="77"/>
      <c r="Z11" s="78"/>
      <c r="AA11" s="75"/>
      <c r="AB11" s="76">
        <f t="shared" si="6"/>
        <v>0</v>
      </c>
      <c r="AC11" s="77">
        <f t="shared" si="7"/>
        <v>0</v>
      </c>
      <c r="AD11" s="77">
        <f>AB11*F11</f>
        <v>0</v>
      </c>
      <c r="AE11" s="77"/>
      <c r="AF11" s="78"/>
    </row>
    <row r="12" s="30" customFormat="1" ht="14" customHeight="1" spans="1:32">
      <c r="A12" s="45" t="s">
        <v>463</v>
      </c>
      <c r="B12" s="46" t="s">
        <v>98</v>
      </c>
      <c r="C12" s="46">
        <v>1</v>
      </c>
      <c r="D12" s="50"/>
      <c r="E12" s="51">
        <v>0.204</v>
      </c>
      <c r="F12" s="51">
        <v>0.816</v>
      </c>
      <c r="G12" s="51"/>
      <c r="H12" s="52"/>
      <c r="I12" s="75"/>
      <c r="J12" s="76">
        <f t="shared" si="9"/>
        <v>0</v>
      </c>
      <c r="K12" s="80"/>
      <c r="L12" s="80"/>
      <c r="M12" s="80"/>
      <c r="N12" s="81"/>
      <c r="O12" s="79"/>
      <c r="P12" s="76">
        <f t="shared" si="2"/>
        <v>0</v>
      </c>
      <c r="Q12" s="77">
        <f t="shared" si="3"/>
        <v>0</v>
      </c>
      <c r="R12" s="77">
        <f>O12*F12</f>
        <v>0</v>
      </c>
      <c r="S12" s="80"/>
      <c r="T12" s="81"/>
      <c r="U12" s="79"/>
      <c r="V12" s="76">
        <f t="shared" si="4"/>
        <v>0</v>
      </c>
      <c r="W12" s="77">
        <f t="shared" si="5"/>
        <v>0</v>
      </c>
      <c r="X12" s="80"/>
      <c r="Y12" s="80"/>
      <c r="Z12" s="81"/>
      <c r="AA12" s="75"/>
      <c r="AB12" s="76"/>
      <c r="AC12" s="76">
        <f>E12*AB12/1000</f>
        <v>0</v>
      </c>
      <c r="AD12" s="76">
        <f>F12*AC12/1000</f>
        <v>0</v>
      </c>
      <c r="AE12" s="80"/>
      <c r="AF12" s="81"/>
    </row>
    <row r="13" s="30" customFormat="1" ht="14" customHeight="1" spans="1:32">
      <c r="A13" s="45" t="s">
        <v>464</v>
      </c>
      <c r="B13" s="46" t="s">
        <v>98</v>
      </c>
      <c r="C13" s="46">
        <v>1</v>
      </c>
      <c r="D13" s="50">
        <v>284.83</v>
      </c>
      <c r="E13" s="51">
        <v>0.56</v>
      </c>
      <c r="F13" s="51">
        <v>0.84</v>
      </c>
      <c r="G13" s="51"/>
      <c r="H13" s="52"/>
      <c r="I13" s="82"/>
      <c r="J13" s="83">
        <f>I13*D13/1000</f>
        <v>0</v>
      </c>
      <c r="K13" s="84">
        <f t="shared" si="10"/>
        <v>0</v>
      </c>
      <c r="L13" s="84">
        <f>I13*F13</f>
        <v>0</v>
      </c>
      <c r="M13" s="84"/>
      <c r="N13" s="85"/>
      <c r="O13" s="86"/>
      <c r="P13" s="83"/>
      <c r="Q13" s="95"/>
      <c r="R13" s="95"/>
      <c r="S13" s="84"/>
      <c r="T13" s="85"/>
      <c r="U13" s="86"/>
      <c r="V13" s="83"/>
      <c r="W13" s="95"/>
      <c r="X13" s="84"/>
      <c r="Y13" s="84"/>
      <c r="Z13" s="85"/>
      <c r="AA13" s="82"/>
      <c r="AB13" s="76">
        <f>D13*AA13/1000</f>
        <v>0</v>
      </c>
      <c r="AC13" s="76">
        <f>E13*AB13/1000</f>
        <v>0</v>
      </c>
      <c r="AD13" s="76">
        <f>F13*AC13/1000</f>
        <v>0</v>
      </c>
      <c r="AE13" s="84"/>
      <c r="AF13" s="85"/>
    </row>
    <row r="14" s="30" customFormat="1" ht="14" customHeight="1" spans="1:32">
      <c r="A14" s="45" t="s">
        <v>465</v>
      </c>
      <c r="B14" s="46" t="s">
        <v>98</v>
      </c>
      <c r="C14" s="46">
        <v>1</v>
      </c>
      <c r="D14" s="53"/>
      <c r="E14" s="53"/>
      <c r="F14" s="53"/>
      <c r="G14" s="51"/>
      <c r="H14" s="52">
        <v>1.16</v>
      </c>
      <c r="I14" s="75"/>
      <c r="J14" s="83"/>
      <c r="K14" s="84"/>
      <c r="L14" s="84"/>
      <c r="M14" s="84"/>
      <c r="N14" s="85"/>
      <c r="O14" s="86"/>
      <c r="P14" s="83"/>
      <c r="Q14" s="95"/>
      <c r="R14" s="95"/>
      <c r="S14" s="84"/>
      <c r="T14" s="85"/>
      <c r="U14" s="86"/>
      <c r="V14" s="83"/>
      <c r="W14" s="95"/>
      <c r="X14" s="84"/>
      <c r="Y14" s="84"/>
      <c r="Z14" s="85"/>
      <c r="AA14" s="97">
        <f ca="1">工程量计算稿!E68</f>
        <v>8.0896</v>
      </c>
      <c r="AB14" s="83"/>
      <c r="AC14" s="84"/>
      <c r="AD14" s="84"/>
      <c r="AE14" s="84"/>
      <c r="AF14" s="85">
        <f ca="1">AA14*H14</f>
        <v>9.383936</v>
      </c>
    </row>
    <row r="15" s="30" customFormat="1" ht="16" customHeight="1" spans="1:32">
      <c r="A15" s="54"/>
      <c r="B15" s="55"/>
      <c r="C15" s="55"/>
      <c r="D15" s="55"/>
      <c r="E15" s="55"/>
      <c r="F15" s="55"/>
      <c r="G15" s="55"/>
      <c r="H15" s="56"/>
      <c r="I15" s="87" t="s">
        <v>466</v>
      </c>
      <c r="J15" s="88">
        <f ca="1" t="shared" ref="J15:N15" si="11">SUM(J5:J14)</f>
        <v>0.2939673282</v>
      </c>
      <c r="K15" s="88">
        <f ca="1" t="shared" si="11"/>
        <v>0.7446246</v>
      </c>
      <c r="L15" s="88">
        <f ca="1" t="shared" si="11"/>
        <v>0.3241084</v>
      </c>
      <c r="M15" s="88">
        <f ca="1" t="shared" si="11"/>
        <v>0.8253504</v>
      </c>
      <c r="N15" s="88">
        <f t="shared" si="11"/>
        <v>0</v>
      </c>
      <c r="O15" s="89" t="s">
        <v>466</v>
      </c>
      <c r="P15" s="88">
        <f ca="1" t="shared" ref="P15:T15" si="12">SUM(P5:P14)</f>
        <v>10.0961420874207</v>
      </c>
      <c r="Q15" s="88">
        <f ca="1" t="shared" si="12"/>
        <v>14.1556897853</v>
      </c>
      <c r="R15" s="88">
        <f ca="1" t="shared" si="12"/>
        <v>23.1445349142</v>
      </c>
      <c r="S15" s="88">
        <f ca="1" t="shared" si="12"/>
        <v>0</v>
      </c>
      <c r="T15" s="88">
        <f t="shared" si="12"/>
        <v>0</v>
      </c>
      <c r="U15" s="89" t="s">
        <v>466</v>
      </c>
      <c r="V15" s="88">
        <f ca="1" t="shared" ref="V15:Z15" si="13">SUM(V5:V14)</f>
        <v>0.35455528856</v>
      </c>
      <c r="W15" s="88">
        <f ca="1" t="shared" si="13"/>
        <v>0.77355544</v>
      </c>
      <c r="X15" s="88">
        <f ca="1" t="shared" si="13"/>
        <v>0.48321616</v>
      </c>
      <c r="Y15" s="88">
        <f ca="1" t="shared" si="13"/>
        <v>0.7228224</v>
      </c>
      <c r="Z15" s="88">
        <f t="shared" si="13"/>
        <v>0</v>
      </c>
      <c r="AA15" s="89" t="s">
        <v>466</v>
      </c>
      <c r="AB15" s="88">
        <f ca="1">SUM(AB5:AB14)</f>
        <v>6.8748833668606</v>
      </c>
      <c r="AC15" s="88">
        <f ca="1">SUM(AC5:AC14)</f>
        <v>10.930849064</v>
      </c>
      <c r="AD15" s="88">
        <f ca="1">SUM(AD5:AD14)</f>
        <v>16.62267685085</v>
      </c>
      <c r="AE15" s="88">
        <f ca="1">SUM(AE5:AE14)</f>
        <v>0.64797696</v>
      </c>
      <c r="AF15" s="98">
        <f ca="1">SUM(AF5:AF14)</f>
        <v>9.383936</v>
      </c>
    </row>
    <row r="16" s="31" customFormat="1" ht="14" customHeight="1" spans="1:32">
      <c r="A16" s="57"/>
      <c r="B16" s="57"/>
      <c r="C16" s="57"/>
      <c r="D16" s="57"/>
      <c r="E16" s="57"/>
      <c r="F16" s="57"/>
      <c r="G16" s="57"/>
      <c r="H16" s="57"/>
      <c r="I16" s="90"/>
      <c r="J16" s="91"/>
      <c r="K16" s="91"/>
      <c r="L16" s="91"/>
      <c r="M16" s="91"/>
      <c r="N16" s="92"/>
      <c r="O16" s="90"/>
      <c r="P16" s="91"/>
      <c r="Q16" s="91"/>
      <c r="R16" s="96"/>
      <c r="S16" s="96"/>
      <c r="T16" s="92"/>
      <c r="U16" s="90"/>
      <c r="V16" s="91"/>
      <c r="W16" s="91"/>
      <c r="X16" s="96"/>
      <c r="Y16" s="96"/>
      <c r="Z16" s="92"/>
      <c r="AA16" s="90"/>
      <c r="AB16" s="91"/>
      <c r="AC16" s="91"/>
      <c r="AD16" s="91"/>
      <c r="AE16" s="91"/>
      <c r="AF16" s="92"/>
    </row>
    <row r="17" s="31" customFormat="1" ht="14" customHeight="1" spans="1:32">
      <c r="A17" s="57"/>
      <c r="B17" s="57"/>
      <c r="C17" s="57"/>
      <c r="D17" s="57"/>
      <c r="E17" s="57"/>
      <c r="F17" s="57"/>
      <c r="G17" s="57"/>
      <c r="H17" s="57"/>
      <c r="I17" s="90"/>
      <c r="J17" s="91"/>
      <c r="K17" s="91"/>
      <c r="L17" s="91"/>
      <c r="M17" s="91"/>
      <c r="N17" s="92"/>
      <c r="O17" s="90"/>
      <c r="P17" s="91"/>
      <c r="Q17" s="91"/>
      <c r="R17" s="96"/>
      <c r="S17" s="96"/>
      <c r="T17" s="92"/>
      <c r="U17" s="90"/>
      <c r="V17" s="91"/>
      <c r="W17" s="91"/>
      <c r="X17" s="96"/>
      <c r="Y17" s="96"/>
      <c r="Z17" s="92"/>
      <c r="AA17" s="90"/>
      <c r="AB17" s="91"/>
      <c r="AC17" s="91"/>
      <c r="AD17" s="91"/>
      <c r="AE17" s="91"/>
      <c r="AF17" s="92"/>
    </row>
    <row r="18" ht="21" spans="1:32">
      <c r="A18" s="58" t="s">
        <v>444</v>
      </c>
      <c r="B18" s="59"/>
      <c r="C18" s="59"/>
      <c r="D18" s="59"/>
      <c r="E18" s="59"/>
      <c r="F18" s="59"/>
      <c r="G18" s="59"/>
      <c r="H18" s="60"/>
      <c r="I18" s="58" t="s">
        <v>215</v>
      </c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60"/>
    </row>
    <row r="19" spans="1:32">
      <c r="A19" s="61" t="s">
        <v>22</v>
      </c>
      <c r="B19" s="62"/>
      <c r="C19" s="62"/>
      <c r="D19" s="62"/>
      <c r="E19" s="62"/>
      <c r="F19" s="62"/>
      <c r="G19" s="62"/>
      <c r="H19" s="63"/>
      <c r="I19" s="70" t="s">
        <v>445</v>
      </c>
      <c r="J19" s="68"/>
      <c r="K19" s="68"/>
      <c r="L19" s="68"/>
      <c r="M19" s="68"/>
      <c r="N19" s="69"/>
      <c r="O19" s="70" t="s">
        <v>95</v>
      </c>
      <c r="P19" s="68"/>
      <c r="Q19" s="68"/>
      <c r="R19" s="68"/>
      <c r="S19" s="68"/>
      <c r="T19" s="69"/>
      <c r="U19" s="70" t="s">
        <v>446</v>
      </c>
      <c r="V19" s="68"/>
      <c r="W19" s="68"/>
      <c r="X19" s="68"/>
      <c r="Y19" s="68"/>
      <c r="Z19" s="69"/>
      <c r="AA19" s="70"/>
      <c r="AB19" s="68"/>
      <c r="AC19" s="68"/>
      <c r="AD19" s="68"/>
      <c r="AE19" s="68"/>
      <c r="AF19" s="69"/>
    </row>
    <row r="20" spans="1:37">
      <c r="A20" s="39" t="s">
        <v>447</v>
      </c>
      <c r="B20" s="40" t="s">
        <v>25</v>
      </c>
      <c r="C20" s="41" t="s">
        <v>91</v>
      </c>
      <c r="D20" s="42" t="s">
        <v>448</v>
      </c>
      <c r="E20" s="42"/>
      <c r="F20" s="42"/>
      <c r="G20" s="42"/>
      <c r="H20" s="43"/>
      <c r="I20" s="74" t="s">
        <v>91</v>
      </c>
      <c r="J20" s="72" t="s">
        <v>449</v>
      </c>
      <c r="K20" s="72"/>
      <c r="L20" s="72"/>
      <c r="M20" s="72"/>
      <c r="N20" s="73"/>
      <c r="O20" s="74" t="s">
        <v>91</v>
      </c>
      <c r="P20" s="72" t="s">
        <v>449</v>
      </c>
      <c r="Q20" s="72"/>
      <c r="R20" s="72"/>
      <c r="S20" s="72"/>
      <c r="T20" s="73"/>
      <c r="U20" s="74" t="s">
        <v>91</v>
      </c>
      <c r="V20" s="72" t="s">
        <v>449</v>
      </c>
      <c r="W20" s="72"/>
      <c r="X20" s="72"/>
      <c r="Y20" s="72"/>
      <c r="Z20" s="73"/>
      <c r="AA20" s="71" t="s">
        <v>91</v>
      </c>
      <c r="AB20" s="72" t="s">
        <v>449</v>
      </c>
      <c r="AC20" s="72"/>
      <c r="AD20" s="72"/>
      <c r="AE20" s="72"/>
      <c r="AF20" s="73"/>
      <c r="AG20" s="99" t="s">
        <v>450</v>
      </c>
      <c r="AH20" s="99"/>
      <c r="AI20" s="99"/>
      <c r="AJ20" s="99"/>
      <c r="AK20" s="99"/>
    </row>
    <row r="21" ht="36" spans="1:37">
      <c r="A21" s="39"/>
      <c r="B21" s="40"/>
      <c r="C21" s="41"/>
      <c r="D21" s="42" t="s">
        <v>451</v>
      </c>
      <c r="E21" s="42" t="s">
        <v>452</v>
      </c>
      <c r="F21" s="42" t="s">
        <v>453</v>
      </c>
      <c r="G21" s="44" t="s">
        <v>454</v>
      </c>
      <c r="H21" s="43" t="s">
        <v>455</v>
      </c>
      <c r="I21" s="74"/>
      <c r="J21" s="72" t="s">
        <v>456</v>
      </c>
      <c r="K21" s="72" t="s">
        <v>452</v>
      </c>
      <c r="L21" s="72" t="s">
        <v>453</v>
      </c>
      <c r="M21" s="72" t="s">
        <v>454</v>
      </c>
      <c r="N21" s="73" t="s">
        <v>455</v>
      </c>
      <c r="O21" s="74"/>
      <c r="P21" s="72" t="s">
        <v>456</v>
      </c>
      <c r="Q21" s="72" t="s">
        <v>452</v>
      </c>
      <c r="R21" s="72" t="s">
        <v>453</v>
      </c>
      <c r="S21" s="72" t="s">
        <v>454</v>
      </c>
      <c r="T21" s="73" t="s">
        <v>455</v>
      </c>
      <c r="U21" s="74"/>
      <c r="V21" s="72" t="s">
        <v>456</v>
      </c>
      <c r="W21" s="72" t="s">
        <v>452</v>
      </c>
      <c r="X21" s="72" t="s">
        <v>453</v>
      </c>
      <c r="Y21" s="72" t="s">
        <v>454</v>
      </c>
      <c r="Z21" s="73" t="s">
        <v>455</v>
      </c>
      <c r="AA21" s="71"/>
      <c r="AB21" s="72" t="s">
        <v>456</v>
      </c>
      <c r="AC21" s="72" t="s">
        <v>452</v>
      </c>
      <c r="AD21" s="72" t="s">
        <v>453</v>
      </c>
      <c r="AE21" s="72" t="s">
        <v>454</v>
      </c>
      <c r="AF21" s="73" t="s">
        <v>455</v>
      </c>
      <c r="AG21" s="101" t="s">
        <v>456</v>
      </c>
      <c r="AH21" s="72" t="s">
        <v>452</v>
      </c>
      <c r="AI21" s="72" t="s">
        <v>453</v>
      </c>
      <c r="AJ21" s="72" t="s">
        <v>454</v>
      </c>
      <c r="AK21" s="72" t="s">
        <v>455</v>
      </c>
    </row>
    <row r="22" spans="1:37">
      <c r="A22" s="45" t="s">
        <v>457</v>
      </c>
      <c r="B22" s="46" t="s">
        <v>98</v>
      </c>
      <c r="C22" s="46">
        <v>1</v>
      </c>
      <c r="D22" s="47">
        <v>350.3576</v>
      </c>
      <c r="E22" s="47">
        <v>0.544</v>
      </c>
      <c r="F22" s="47">
        <v>0.8666</v>
      </c>
      <c r="G22" s="47"/>
      <c r="H22" s="48"/>
      <c r="I22" s="79">
        <f ca="1">工程量计算稿!E123</f>
        <v>0.784</v>
      </c>
      <c r="J22" s="76">
        <f ca="1" t="shared" ref="J22:J24" si="14">D22*I22/1000</f>
        <v>0.2746803584</v>
      </c>
      <c r="K22" s="77">
        <f ca="1" t="shared" ref="K22:K24" si="15">I22*E22</f>
        <v>0.426496</v>
      </c>
      <c r="L22" s="77">
        <f ca="1">I22*F22</f>
        <v>0.6794144</v>
      </c>
      <c r="M22" s="77"/>
      <c r="N22" s="78"/>
      <c r="O22" s="79">
        <f ca="1">工程量计算稿!E110+工程量计算稿!E111+工程量计算稿!E120</f>
        <v>3.557</v>
      </c>
      <c r="P22" s="76">
        <f ca="1" t="shared" ref="P22:P29" si="16">D22*O22/1000</f>
        <v>1.2462219832</v>
      </c>
      <c r="Q22" s="77">
        <f ca="1" t="shared" ref="Q22:Q29" si="17">O22*E22</f>
        <v>1.935008</v>
      </c>
      <c r="R22" s="77">
        <f ca="1">O22*F22</f>
        <v>3.0824962</v>
      </c>
      <c r="S22" s="77"/>
      <c r="T22" s="78"/>
      <c r="U22" s="79">
        <f ca="1">工程量计算稿!E136</f>
        <v>0.408</v>
      </c>
      <c r="V22" s="76">
        <f ca="1" t="shared" ref="V22:V29" si="18">D22*U22/1000</f>
        <v>0.1429459008</v>
      </c>
      <c r="W22" s="77">
        <f ca="1" t="shared" ref="W22:W29" si="19">U22*E22</f>
        <v>0.221952</v>
      </c>
      <c r="X22" s="77">
        <f ca="1">U22*F22</f>
        <v>0.3535728</v>
      </c>
      <c r="Y22" s="77"/>
      <c r="Z22" s="78"/>
      <c r="AA22" s="75"/>
      <c r="AB22" s="76">
        <f t="shared" ref="AB22:AB28" si="20">D22*AA22/1000</f>
        <v>0</v>
      </c>
      <c r="AC22" s="77">
        <f t="shared" ref="AC22:AC28" si="21">AA22*E22</f>
        <v>0</v>
      </c>
      <c r="AD22" s="77">
        <f>AA22*F22</f>
        <v>0</v>
      </c>
      <c r="AE22" s="77"/>
      <c r="AF22" s="78"/>
      <c r="AG22" s="102">
        <f ca="1" t="shared" ref="AG22:AK22" si="22">J32+P32+V32+AB32</f>
        <v>10.6511184306032</v>
      </c>
      <c r="AH22" s="102">
        <f ca="1" t="shared" si="22"/>
        <v>15.7673357328</v>
      </c>
      <c r="AI22" s="102">
        <f ca="1" t="shared" si="22"/>
        <v>23.8560351792</v>
      </c>
      <c r="AJ22" s="102">
        <f ca="1" t="shared" si="22"/>
        <v>1.72554624</v>
      </c>
      <c r="AK22" s="102">
        <f t="shared" si="22"/>
        <v>0</v>
      </c>
    </row>
    <row r="23" spans="1:32">
      <c r="A23" s="45" t="s">
        <v>458</v>
      </c>
      <c r="B23" s="46" t="s">
        <v>98</v>
      </c>
      <c r="C23" s="46">
        <v>1</v>
      </c>
      <c r="D23" s="47">
        <v>375.8161</v>
      </c>
      <c r="E23" s="47">
        <v>0.5219</v>
      </c>
      <c r="F23" s="47">
        <v>0.8666</v>
      </c>
      <c r="G23" s="47"/>
      <c r="H23" s="48"/>
      <c r="I23" s="79">
        <f ca="1">工程量计算稿!E124</f>
        <v>0.5488</v>
      </c>
      <c r="J23" s="76">
        <f ca="1" t="shared" si="14"/>
        <v>0.20624787568</v>
      </c>
      <c r="K23" s="77">
        <f ca="1" t="shared" si="15"/>
        <v>0.28641872</v>
      </c>
      <c r="L23" s="77">
        <f ca="1">I23*F23</f>
        <v>0.47559008</v>
      </c>
      <c r="M23" s="77"/>
      <c r="N23" s="78"/>
      <c r="O23" s="79">
        <f ca="1">工程量计算稿!E91+工程量计算稿!E94+工程量计算稿!E92+工程量计算稿!E93</f>
        <v>22.067312</v>
      </c>
      <c r="P23" s="76">
        <f ca="1" t="shared" si="16"/>
        <v>8.2932511333232</v>
      </c>
      <c r="Q23" s="77">
        <f ca="1" t="shared" si="17"/>
        <v>11.5169301328</v>
      </c>
      <c r="R23" s="77">
        <f ca="1">O23*F23</f>
        <v>19.1235325792</v>
      </c>
      <c r="S23" s="77"/>
      <c r="T23" s="78"/>
      <c r="U23" s="79">
        <f ca="1">工程量计算稿!E139</f>
        <v>0.1632</v>
      </c>
      <c r="V23" s="76">
        <f ca="1" t="shared" si="18"/>
        <v>0.06133318752</v>
      </c>
      <c r="W23" s="77">
        <f ca="1" t="shared" si="19"/>
        <v>0.08517408</v>
      </c>
      <c r="X23" s="77">
        <f ca="1">U23*F23</f>
        <v>0.14142912</v>
      </c>
      <c r="Y23" s="77"/>
      <c r="Z23" s="78"/>
      <c r="AA23" s="75"/>
      <c r="AB23" s="76">
        <f t="shared" si="20"/>
        <v>0</v>
      </c>
      <c r="AC23" s="77">
        <f t="shared" si="21"/>
        <v>0</v>
      </c>
      <c r="AD23" s="77">
        <f>AA23*F23</f>
        <v>0</v>
      </c>
      <c r="AE23" s="77"/>
      <c r="AF23" s="78"/>
    </row>
    <row r="24" spans="1:32">
      <c r="A24" s="45" t="s">
        <v>459</v>
      </c>
      <c r="B24" s="46" t="s">
        <v>98</v>
      </c>
      <c r="C24" s="46">
        <v>1</v>
      </c>
      <c r="D24" s="47">
        <v>66.033</v>
      </c>
      <c r="E24" s="47">
        <v>0.25</v>
      </c>
      <c r="F24" s="47"/>
      <c r="G24" s="47">
        <f>534/1000</f>
        <v>0.534</v>
      </c>
      <c r="H24" s="48"/>
      <c r="I24" s="79">
        <f ca="1">工程量计算稿!E125</f>
        <v>1.87776</v>
      </c>
      <c r="J24" s="76">
        <f ca="1" t="shared" si="14"/>
        <v>0.12399412608</v>
      </c>
      <c r="K24" s="77">
        <f ca="1" t="shared" si="15"/>
        <v>0.46944</v>
      </c>
      <c r="L24" s="77"/>
      <c r="M24" s="77">
        <f ca="1">I24*G24</f>
        <v>1.00272384</v>
      </c>
      <c r="N24" s="78"/>
      <c r="O24" s="79">
        <f ca="1">工程量计算稿!E95</f>
        <v>0</v>
      </c>
      <c r="P24" s="76">
        <f ca="1" t="shared" si="16"/>
        <v>0</v>
      </c>
      <c r="Q24" s="77">
        <f ca="1" t="shared" si="17"/>
        <v>0</v>
      </c>
      <c r="R24" s="77"/>
      <c r="S24" s="77">
        <f ca="1">O24*G24</f>
        <v>0</v>
      </c>
      <c r="T24" s="78"/>
      <c r="U24" s="79">
        <f ca="1">工程量计算稿!E137</f>
        <v>1.3536</v>
      </c>
      <c r="V24" s="76">
        <f ca="1" t="shared" si="18"/>
        <v>0.0893822688</v>
      </c>
      <c r="W24" s="77">
        <f ca="1" t="shared" si="19"/>
        <v>0.3384</v>
      </c>
      <c r="X24" s="77"/>
      <c r="Y24" s="77">
        <f ca="1">U24*G24</f>
        <v>0.7228224</v>
      </c>
      <c r="Z24" s="78"/>
      <c r="AA24" s="75"/>
      <c r="AB24" s="76">
        <f t="shared" si="20"/>
        <v>0</v>
      </c>
      <c r="AC24" s="77">
        <f t="shared" si="21"/>
        <v>0</v>
      </c>
      <c r="AD24" s="77"/>
      <c r="AE24" s="77">
        <f>AA24*G24</f>
        <v>0</v>
      </c>
      <c r="AF24" s="78"/>
    </row>
    <row r="25" spans="1:32">
      <c r="A25" s="49" t="s">
        <v>460</v>
      </c>
      <c r="B25" s="46" t="s">
        <v>98</v>
      </c>
      <c r="C25" s="46">
        <v>1</v>
      </c>
      <c r="D25" s="47">
        <f>34.4/100*261</f>
        <v>89.784</v>
      </c>
      <c r="E25" s="47">
        <f>34.4/100*1.11</f>
        <v>0.38184</v>
      </c>
      <c r="F25" s="47"/>
      <c r="G25" s="47"/>
      <c r="H25" s="48">
        <f>108/100</f>
        <v>1.08</v>
      </c>
      <c r="I25" s="79"/>
      <c r="J25" s="76"/>
      <c r="K25" s="77"/>
      <c r="L25" s="77"/>
      <c r="M25" s="77"/>
      <c r="N25" s="78"/>
      <c r="O25" s="79"/>
      <c r="P25" s="76">
        <f t="shared" si="16"/>
        <v>0</v>
      </c>
      <c r="Q25" s="77">
        <f t="shared" si="17"/>
        <v>0</v>
      </c>
      <c r="R25" s="77"/>
      <c r="S25" s="77"/>
      <c r="T25" s="78"/>
      <c r="U25" s="79"/>
      <c r="V25" s="76">
        <f t="shared" si="18"/>
        <v>0</v>
      </c>
      <c r="W25" s="77">
        <f t="shared" si="19"/>
        <v>0</v>
      </c>
      <c r="X25" s="77"/>
      <c r="Y25" s="77"/>
      <c r="Z25" s="78"/>
      <c r="AA25" s="75"/>
      <c r="AB25" s="76">
        <f t="shared" si="20"/>
        <v>0</v>
      </c>
      <c r="AC25" s="77">
        <f t="shared" si="21"/>
        <v>0</v>
      </c>
      <c r="AD25" s="77"/>
      <c r="AE25" s="77"/>
      <c r="AF25" s="78">
        <f>AB25*H25</f>
        <v>0</v>
      </c>
    </row>
    <row r="26" spans="1:32">
      <c r="A26" s="45" t="s">
        <v>461</v>
      </c>
      <c r="B26" s="46" t="s">
        <v>98</v>
      </c>
      <c r="C26" s="46">
        <v>1</v>
      </c>
      <c r="D26" s="47">
        <v>7.717</v>
      </c>
      <c r="E26" s="47">
        <v>0.02</v>
      </c>
      <c r="F26" s="47"/>
      <c r="G26" s="47"/>
      <c r="H26" s="48"/>
      <c r="I26" s="79">
        <f ca="1">工程量计算稿!E128</f>
        <v>11.3552</v>
      </c>
      <c r="J26" s="76">
        <f ca="1" t="shared" ref="J26:J29" si="23">D26*I26/1000</f>
        <v>0.0876280784</v>
      </c>
      <c r="K26" s="77">
        <f ca="1" t="shared" ref="K26:K30" si="24">I26*E26</f>
        <v>0.227104</v>
      </c>
      <c r="L26" s="77"/>
      <c r="M26" s="77"/>
      <c r="N26" s="78"/>
      <c r="O26" s="79"/>
      <c r="P26" s="76">
        <f t="shared" si="16"/>
        <v>0</v>
      </c>
      <c r="Q26" s="77">
        <f t="shared" si="17"/>
        <v>0</v>
      </c>
      <c r="R26" s="77"/>
      <c r="S26" s="77"/>
      <c r="T26" s="78"/>
      <c r="U26" s="79">
        <f ca="1">工程量计算稿!E138</f>
        <v>6.7392</v>
      </c>
      <c r="V26" s="76">
        <f ca="1" t="shared" si="18"/>
        <v>0.0520064064</v>
      </c>
      <c r="W26" s="77">
        <f ca="1" t="shared" si="19"/>
        <v>0.134784</v>
      </c>
      <c r="X26" s="77"/>
      <c r="Y26" s="77"/>
      <c r="Z26" s="78"/>
      <c r="AA26" s="75"/>
      <c r="AB26" s="76">
        <f t="shared" si="20"/>
        <v>0</v>
      </c>
      <c r="AC26" s="77">
        <f t="shared" si="21"/>
        <v>0</v>
      </c>
      <c r="AD26" s="77"/>
      <c r="AE26" s="77"/>
      <c r="AF26" s="78"/>
    </row>
    <row r="27" spans="1:32">
      <c r="A27" s="45" t="s">
        <v>172</v>
      </c>
      <c r="B27" s="46" t="s">
        <v>113</v>
      </c>
      <c r="C27" s="46">
        <v>1</v>
      </c>
      <c r="D27" s="47">
        <f>403.17/100+99.48/100</f>
        <v>5.0265</v>
      </c>
      <c r="E27" s="47">
        <f>0.77/100+0.09/100</f>
        <v>0.0086</v>
      </c>
      <c r="F27" s="47"/>
      <c r="G27" s="47"/>
      <c r="H27" s="48"/>
      <c r="I27" s="79"/>
      <c r="J27" s="76">
        <f t="shared" si="23"/>
        <v>0</v>
      </c>
      <c r="K27" s="77">
        <f t="shared" si="24"/>
        <v>0</v>
      </c>
      <c r="L27" s="77"/>
      <c r="M27" s="77"/>
      <c r="N27" s="78"/>
      <c r="O27" s="79">
        <f ca="1">工程量计算稿!E103</f>
        <v>14.608</v>
      </c>
      <c r="P27" s="76">
        <f ca="1" t="shared" si="16"/>
        <v>0.073427112</v>
      </c>
      <c r="Q27" s="77">
        <f ca="1" t="shared" si="17"/>
        <v>0.1256288</v>
      </c>
      <c r="R27" s="77"/>
      <c r="S27" s="77"/>
      <c r="T27" s="78"/>
      <c r="U27" s="79"/>
      <c r="V27" s="76">
        <f t="shared" si="18"/>
        <v>0</v>
      </c>
      <c r="W27" s="77">
        <f t="shared" si="19"/>
        <v>0</v>
      </c>
      <c r="X27" s="77"/>
      <c r="Y27" s="77"/>
      <c r="Z27" s="78"/>
      <c r="AA27" s="75"/>
      <c r="AB27" s="76">
        <f t="shared" si="20"/>
        <v>0</v>
      </c>
      <c r="AC27" s="77">
        <f t="shared" si="21"/>
        <v>0</v>
      </c>
      <c r="AD27" s="77"/>
      <c r="AE27" s="77"/>
      <c r="AF27" s="78"/>
    </row>
    <row r="28" spans="1:32">
      <c r="A28" s="49" t="s">
        <v>462</v>
      </c>
      <c r="B28" s="46" t="s">
        <v>113</v>
      </c>
      <c r="C28" s="46">
        <v>1</v>
      </c>
      <c r="D28" s="47">
        <v>52.043</v>
      </c>
      <c r="E28" s="47">
        <v>0.081</v>
      </c>
      <c r="F28" s="47">
        <v>0.129</v>
      </c>
      <c r="G28" s="47"/>
      <c r="H28" s="48"/>
      <c r="I28" s="79"/>
      <c r="J28" s="76">
        <f t="shared" si="23"/>
        <v>0</v>
      </c>
      <c r="K28" s="77"/>
      <c r="L28" s="77"/>
      <c r="M28" s="77"/>
      <c r="N28" s="78"/>
      <c r="O28" s="79"/>
      <c r="P28" s="76">
        <f t="shared" si="16"/>
        <v>0</v>
      </c>
      <c r="Q28" s="77">
        <f t="shared" si="17"/>
        <v>0</v>
      </c>
      <c r="R28" s="77">
        <f>O28*F28</f>
        <v>0</v>
      </c>
      <c r="S28" s="77"/>
      <c r="T28" s="78"/>
      <c r="U28" s="79"/>
      <c r="V28" s="76">
        <f t="shared" si="18"/>
        <v>0</v>
      </c>
      <c r="W28" s="77">
        <f t="shared" si="19"/>
        <v>0</v>
      </c>
      <c r="X28" s="77"/>
      <c r="Y28" s="77"/>
      <c r="Z28" s="78"/>
      <c r="AA28" s="75"/>
      <c r="AB28" s="76">
        <f t="shared" si="20"/>
        <v>0</v>
      </c>
      <c r="AC28" s="77">
        <f t="shared" si="21"/>
        <v>0</v>
      </c>
      <c r="AD28" s="77">
        <f>AB28*F28</f>
        <v>0</v>
      </c>
      <c r="AE28" s="77"/>
      <c r="AF28" s="78"/>
    </row>
    <row r="29" spans="1:32">
      <c r="A29" s="45" t="s">
        <v>463</v>
      </c>
      <c r="B29" s="46" t="s">
        <v>98</v>
      </c>
      <c r="C29" s="46">
        <v>1</v>
      </c>
      <c r="D29" s="50"/>
      <c r="E29" s="51">
        <v>0.204</v>
      </c>
      <c r="F29" s="51">
        <v>0.816</v>
      </c>
      <c r="G29" s="51"/>
      <c r="H29" s="52"/>
      <c r="I29" s="79"/>
      <c r="J29" s="76">
        <f t="shared" si="23"/>
        <v>0</v>
      </c>
      <c r="K29" s="80"/>
      <c r="L29" s="80"/>
      <c r="M29" s="80"/>
      <c r="N29" s="81"/>
      <c r="O29" s="79"/>
      <c r="P29" s="76">
        <f t="shared" si="16"/>
        <v>0</v>
      </c>
      <c r="Q29" s="77">
        <f t="shared" si="17"/>
        <v>0</v>
      </c>
      <c r="R29" s="77">
        <f>O29*F29</f>
        <v>0</v>
      </c>
      <c r="S29" s="80"/>
      <c r="T29" s="81"/>
      <c r="U29" s="79"/>
      <c r="V29" s="76">
        <f t="shared" si="18"/>
        <v>0</v>
      </c>
      <c r="W29" s="77">
        <f t="shared" si="19"/>
        <v>0</v>
      </c>
      <c r="X29" s="80"/>
      <c r="Y29" s="80"/>
      <c r="Z29" s="81"/>
      <c r="AA29" s="75"/>
      <c r="AB29" s="76"/>
      <c r="AC29" s="76">
        <f>E29*AB29/1000</f>
        <v>0</v>
      </c>
      <c r="AD29" s="76">
        <f>F29*AC29/1000</f>
        <v>0</v>
      </c>
      <c r="AE29" s="80"/>
      <c r="AF29" s="81"/>
    </row>
    <row r="30" spans="1:32">
      <c r="A30" s="45" t="s">
        <v>464</v>
      </c>
      <c r="B30" s="46" t="s">
        <v>98</v>
      </c>
      <c r="C30" s="46">
        <v>1</v>
      </c>
      <c r="D30" s="50">
        <v>284.83</v>
      </c>
      <c r="E30" s="51">
        <v>0.56</v>
      </c>
      <c r="F30" s="51">
        <v>0.84</v>
      </c>
      <c r="G30" s="51"/>
      <c r="H30" s="52"/>
      <c r="I30" s="86"/>
      <c r="J30" s="83">
        <f>I30*D30/1000</f>
        <v>0</v>
      </c>
      <c r="K30" s="84">
        <f t="shared" si="24"/>
        <v>0</v>
      </c>
      <c r="L30" s="84">
        <f>I30*F30</f>
        <v>0</v>
      </c>
      <c r="M30" s="84"/>
      <c r="N30" s="85"/>
      <c r="O30" s="86"/>
      <c r="P30" s="83"/>
      <c r="Q30" s="95"/>
      <c r="R30" s="95"/>
      <c r="S30" s="84"/>
      <c r="T30" s="85"/>
      <c r="U30" s="86"/>
      <c r="V30" s="83"/>
      <c r="W30" s="95"/>
      <c r="X30" s="84"/>
      <c r="Y30" s="84"/>
      <c r="Z30" s="85"/>
      <c r="AA30" s="82"/>
      <c r="AB30" s="76">
        <f t="shared" ref="AB30:AD30" si="25">D30*AA30/1000</f>
        <v>0</v>
      </c>
      <c r="AC30" s="76">
        <f t="shared" si="25"/>
        <v>0</v>
      </c>
      <c r="AD30" s="76">
        <f t="shared" si="25"/>
        <v>0</v>
      </c>
      <c r="AE30" s="84"/>
      <c r="AF30" s="85"/>
    </row>
    <row r="31" spans="1:32">
      <c r="A31" s="45" t="s">
        <v>465</v>
      </c>
      <c r="B31" s="46" t="s">
        <v>98</v>
      </c>
      <c r="C31" s="46">
        <v>1</v>
      </c>
      <c r="D31" s="53"/>
      <c r="E31" s="53"/>
      <c r="F31" s="53"/>
      <c r="G31" s="51"/>
      <c r="H31" s="52">
        <v>1.16</v>
      </c>
      <c r="I31" s="79"/>
      <c r="J31" s="83"/>
      <c r="K31" s="84"/>
      <c r="L31" s="84"/>
      <c r="M31" s="84"/>
      <c r="N31" s="85"/>
      <c r="O31" s="86"/>
      <c r="P31" s="83"/>
      <c r="Q31" s="95"/>
      <c r="R31" s="95"/>
      <c r="S31" s="84"/>
      <c r="T31" s="85"/>
      <c r="U31" s="86"/>
      <c r="V31" s="83"/>
      <c r="W31" s="95"/>
      <c r="X31" s="84"/>
      <c r="Y31" s="84"/>
      <c r="Z31" s="85"/>
      <c r="AA31" s="97"/>
      <c r="AB31" s="83"/>
      <c r="AC31" s="84"/>
      <c r="AD31" s="84"/>
      <c r="AE31" s="84"/>
      <c r="AF31" s="85"/>
    </row>
    <row r="32" ht="21" spans="1:32">
      <c r="A32" s="64"/>
      <c r="B32" s="65"/>
      <c r="C32" s="65"/>
      <c r="D32" s="65"/>
      <c r="E32" s="65"/>
      <c r="F32" s="65"/>
      <c r="G32" s="65"/>
      <c r="H32" s="66"/>
      <c r="I32" s="89" t="s">
        <v>466</v>
      </c>
      <c r="J32" s="93">
        <f ca="1" t="shared" ref="J32:M32" si="26">SUM(J22:J30)</f>
        <v>0.69255043856</v>
      </c>
      <c r="K32" s="93">
        <f ca="1" t="shared" si="26"/>
        <v>1.40945872</v>
      </c>
      <c r="L32" s="93">
        <f ca="1" t="shared" si="26"/>
        <v>1.15500448</v>
      </c>
      <c r="M32" s="93">
        <f ca="1" t="shared" si="26"/>
        <v>1.00272384</v>
      </c>
      <c r="N32" s="94"/>
      <c r="O32" s="89" t="s">
        <v>466</v>
      </c>
      <c r="P32" s="93">
        <f ca="1" t="shared" ref="P32:S32" si="27">SUM(P22:P29)</f>
        <v>9.6129002285232</v>
      </c>
      <c r="Q32" s="93">
        <f ca="1" t="shared" si="27"/>
        <v>13.5775669328</v>
      </c>
      <c r="R32" s="88">
        <f ca="1" t="shared" si="27"/>
        <v>22.2060287792</v>
      </c>
      <c r="S32" s="88">
        <f ca="1" t="shared" si="27"/>
        <v>0</v>
      </c>
      <c r="T32" s="94"/>
      <c r="U32" s="89" t="s">
        <v>466</v>
      </c>
      <c r="V32" s="93">
        <f ca="1" t="shared" ref="V32:Y32" si="28">SUM(V22:V29)</f>
        <v>0.34566776352</v>
      </c>
      <c r="W32" s="93">
        <f ca="1" t="shared" si="28"/>
        <v>0.78031008</v>
      </c>
      <c r="X32" s="88">
        <f ca="1" t="shared" si="28"/>
        <v>0.49500192</v>
      </c>
      <c r="Y32" s="88">
        <f ca="1" t="shared" si="28"/>
        <v>0.7228224</v>
      </c>
      <c r="Z32" s="94"/>
      <c r="AA32" s="89" t="s">
        <v>466</v>
      </c>
      <c r="AB32" s="93">
        <f t="shared" ref="AB32:AE32" si="29">SUM(AB22:AB30)</f>
        <v>0</v>
      </c>
      <c r="AC32" s="93">
        <f t="shared" si="29"/>
        <v>0</v>
      </c>
      <c r="AD32" s="93">
        <f t="shared" si="29"/>
        <v>0</v>
      </c>
      <c r="AE32" s="93">
        <f t="shared" si="29"/>
        <v>0</v>
      </c>
      <c r="AF32" s="94"/>
    </row>
    <row r="33" ht="20.25" spans="1:32">
      <c r="A33" s="57"/>
      <c r="B33" s="57"/>
      <c r="C33" s="57"/>
      <c r="D33" s="57"/>
      <c r="E33" s="57"/>
      <c r="F33" s="57"/>
      <c r="G33" s="57"/>
      <c r="H33" s="57"/>
      <c r="I33" s="90"/>
      <c r="J33" s="91"/>
      <c r="K33" s="91"/>
      <c r="L33" s="91"/>
      <c r="M33" s="91"/>
      <c r="N33" s="92"/>
      <c r="O33" s="90"/>
      <c r="P33" s="91"/>
      <c r="Q33" s="91"/>
      <c r="R33" s="96"/>
      <c r="S33" s="96"/>
      <c r="T33" s="92"/>
      <c r="U33" s="90"/>
      <c r="V33" s="91"/>
      <c r="W33" s="91"/>
      <c r="X33" s="96"/>
      <c r="Y33" s="96"/>
      <c r="Z33" s="92"/>
      <c r="AA33" s="90"/>
      <c r="AB33" s="91"/>
      <c r="AC33" s="91"/>
      <c r="AD33" s="91"/>
      <c r="AE33" s="91"/>
      <c r="AF33" s="92"/>
    </row>
    <row r="34" ht="21" spans="1:32">
      <c r="A34" s="57"/>
      <c r="B34" s="57"/>
      <c r="C34" s="57"/>
      <c r="D34" s="57"/>
      <c r="E34" s="57"/>
      <c r="F34" s="57"/>
      <c r="G34" s="57"/>
      <c r="H34" s="57"/>
      <c r="I34" s="90"/>
      <c r="J34" s="91"/>
      <c r="K34" s="91"/>
      <c r="L34" s="91"/>
      <c r="M34" s="91"/>
      <c r="N34" s="92"/>
      <c r="O34" s="90"/>
      <c r="P34" s="91"/>
      <c r="Q34" s="91"/>
      <c r="R34" s="96"/>
      <c r="S34" s="96"/>
      <c r="T34" s="92"/>
      <c r="U34" s="90"/>
      <c r="V34" s="91"/>
      <c r="W34" s="91"/>
      <c r="X34" s="96"/>
      <c r="Y34" s="96"/>
      <c r="Z34" s="92"/>
      <c r="AA34" s="90"/>
      <c r="AB34" s="91"/>
      <c r="AC34" s="91"/>
      <c r="AD34" s="91"/>
      <c r="AE34" s="91"/>
      <c r="AF34" s="92"/>
    </row>
    <row r="35" ht="21" spans="1:32">
      <c r="A35" s="58" t="s">
        <v>444</v>
      </c>
      <c r="B35" s="59"/>
      <c r="C35" s="59"/>
      <c r="D35" s="59"/>
      <c r="E35" s="59"/>
      <c r="F35" s="59"/>
      <c r="G35" s="59"/>
      <c r="H35" s="60"/>
      <c r="I35" s="58" t="s">
        <v>266</v>
      </c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60"/>
    </row>
    <row r="36" spans="1:32">
      <c r="A36" s="61" t="s">
        <v>22</v>
      </c>
      <c r="B36" s="62"/>
      <c r="C36" s="62"/>
      <c r="D36" s="62"/>
      <c r="E36" s="62"/>
      <c r="F36" s="62"/>
      <c r="G36" s="62"/>
      <c r="H36" s="63"/>
      <c r="I36" s="70" t="s">
        <v>445</v>
      </c>
      <c r="J36" s="68"/>
      <c r="K36" s="68"/>
      <c r="L36" s="68"/>
      <c r="M36" s="68"/>
      <c r="N36" s="69"/>
      <c r="O36" s="70" t="s">
        <v>95</v>
      </c>
      <c r="P36" s="68"/>
      <c r="Q36" s="68"/>
      <c r="R36" s="68"/>
      <c r="S36" s="68"/>
      <c r="T36" s="69"/>
      <c r="U36" s="70" t="s">
        <v>446</v>
      </c>
      <c r="V36" s="68"/>
      <c r="W36" s="68"/>
      <c r="X36" s="68"/>
      <c r="Y36" s="68"/>
      <c r="Z36" s="69"/>
      <c r="AA36" s="70"/>
      <c r="AB36" s="68"/>
      <c r="AC36" s="68"/>
      <c r="AD36" s="68"/>
      <c r="AE36" s="68"/>
      <c r="AF36" s="69"/>
    </row>
    <row r="37" spans="1:37">
      <c r="A37" s="39" t="s">
        <v>447</v>
      </c>
      <c r="B37" s="40" t="s">
        <v>25</v>
      </c>
      <c r="C37" s="41" t="s">
        <v>91</v>
      </c>
      <c r="D37" s="42" t="s">
        <v>448</v>
      </c>
      <c r="E37" s="42"/>
      <c r="F37" s="42"/>
      <c r="G37" s="42"/>
      <c r="H37" s="43"/>
      <c r="I37" s="74" t="s">
        <v>91</v>
      </c>
      <c r="J37" s="72" t="s">
        <v>449</v>
      </c>
      <c r="K37" s="72"/>
      <c r="L37" s="72"/>
      <c r="M37" s="72"/>
      <c r="N37" s="73"/>
      <c r="O37" s="74" t="s">
        <v>91</v>
      </c>
      <c r="P37" s="72" t="s">
        <v>449</v>
      </c>
      <c r="Q37" s="72"/>
      <c r="R37" s="72"/>
      <c r="S37" s="72"/>
      <c r="T37" s="73"/>
      <c r="U37" s="74" t="s">
        <v>91</v>
      </c>
      <c r="V37" s="72" t="s">
        <v>449</v>
      </c>
      <c r="W37" s="72"/>
      <c r="X37" s="72"/>
      <c r="Y37" s="72"/>
      <c r="Z37" s="73"/>
      <c r="AA37" s="71" t="s">
        <v>91</v>
      </c>
      <c r="AB37" s="72" t="s">
        <v>449</v>
      </c>
      <c r="AC37" s="72"/>
      <c r="AD37" s="72"/>
      <c r="AE37" s="72"/>
      <c r="AF37" s="73"/>
      <c r="AG37" s="99" t="s">
        <v>450</v>
      </c>
      <c r="AH37" s="99"/>
      <c r="AI37" s="99"/>
      <c r="AJ37" s="99"/>
      <c r="AK37" s="99"/>
    </row>
    <row r="38" ht="36" spans="1:37">
      <c r="A38" s="39"/>
      <c r="B38" s="40"/>
      <c r="C38" s="41"/>
      <c r="D38" s="42" t="s">
        <v>451</v>
      </c>
      <c r="E38" s="42" t="s">
        <v>452</v>
      </c>
      <c r="F38" s="42" t="s">
        <v>453</v>
      </c>
      <c r="G38" s="44" t="s">
        <v>454</v>
      </c>
      <c r="H38" s="43" t="s">
        <v>455</v>
      </c>
      <c r="I38" s="74"/>
      <c r="J38" s="72" t="s">
        <v>456</v>
      </c>
      <c r="K38" s="72" t="s">
        <v>452</v>
      </c>
      <c r="L38" s="72" t="s">
        <v>453</v>
      </c>
      <c r="M38" s="72" t="s">
        <v>467</v>
      </c>
      <c r="N38" s="73" t="s">
        <v>455</v>
      </c>
      <c r="O38" s="74"/>
      <c r="P38" s="72" t="s">
        <v>456</v>
      </c>
      <c r="Q38" s="72" t="s">
        <v>452</v>
      </c>
      <c r="R38" s="72" t="s">
        <v>453</v>
      </c>
      <c r="S38" s="72" t="s">
        <v>467</v>
      </c>
      <c r="T38" s="73" t="s">
        <v>455</v>
      </c>
      <c r="U38" s="74"/>
      <c r="V38" s="72" t="s">
        <v>456</v>
      </c>
      <c r="W38" s="72" t="s">
        <v>452</v>
      </c>
      <c r="X38" s="72" t="s">
        <v>453</v>
      </c>
      <c r="Y38" s="72" t="s">
        <v>454</v>
      </c>
      <c r="Z38" s="73" t="s">
        <v>455</v>
      </c>
      <c r="AA38" s="71"/>
      <c r="AB38" s="72" t="s">
        <v>456</v>
      </c>
      <c r="AC38" s="72" t="s">
        <v>452</v>
      </c>
      <c r="AD38" s="72" t="s">
        <v>453</v>
      </c>
      <c r="AE38" s="72" t="s">
        <v>467</v>
      </c>
      <c r="AF38" s="73" t="s">
        <v>455</v>
      </c>
      <c r="AG38" s="101" t="s">
        <v>456</v>
      </c>
      <c r="AH38" s="72" t="s">
        <v>452</v>
      </c>
      <c r="AI38" s="72" t="s">
        <v>453</v>
      </c>
      <c r="AJ38" s="72" t="s">
        <v>454</v>
      </c>
      <c r="AK38" s="72" t="s">
        <v>455</v>
      </c>
    </row>
    <row r="39" spans="1:37">
      <c r="A39" s="45" t="s">
        <v>457</v>
      </c>
      <c r="B39" s="46" t="s">
        <v>98</v>
      </c>
      <c r="C39" s="46">
        <v>1</v>
      </c>
      <c r="D39" s="47">
        <v>350.3576</v>
      </c>
      <c r="E39" s="47">
        <v>0.544</v>
      </c>
      <c r="F39" s="47">
        <v>0.8666</v>
      </c>
      <c r="G39" s="47"/>
      <c r="H39" s="48"/>
      <c r="I39" s="79">
        <f ca="1">工程量计算稿!E180</f>
        <v>0.34</v>
      </c>
      <c r="J39" s="76">
        <f ca="1" t="shared" ref="J39:J41" si="30">D39*I39/1000</f>
        <v>0.119121584</v>
      </c>
      <c r="K39" s="77">
        <f ca="1" t="shared" ref="K39:K41" si="31">I39*E39</f>
        <v>0.18496</v>
      </c>
      <c r="L39" s="77">
        <f ca="1">I39*F39</f>
        <v>0.294644</v>
      </c>
      <c r="M39" s="77"/>
      <c r="N39" s="78"/>
      <c r="O39" s="79">
        <f ca="1">工程量计算稿!E171+工程量计算稿!E172</f>
        <v>2.9904</v>
      </c>
      <c r="P39" s="76">
        <f ca="1" t="shared" ref="P39:P46" si="32">D39*O39/1000</f>
        <v>1.04770936704</v>
      </c>
      <c r="Q39" s="77">
        <f ca="1" t="shared" ref="Q39:Q46" si="33">O39*E39</f>
        <v>1.6267776</v>
      </c>
      <c r="R39" s="77">
        <f ca="1">O39*F39</f>
        <v>2.59148064</v>
      </c>
      <c r="S39" s="77"/>
      <c r="T39" s="78"/>
      <c r="U39" s="79"/>
      <c r="V39" s="76">
        <f t="shared" ref="V39:V46" si="34">D39*U39/1000</f>
        <v>0</v>
      </c>
      <c r="W39" s="77">
        <f t="shared" ref="W39:W46" si="35">U39*E39</f>
        <v>0</v>
      </c>
      <c r="X39" s="77">
        <f>U39*F39</f>
        <v>0</v>
      </c>
      <c r="Y39" s="77"/>
      <c r="Z39" s="78"/>
      <c r="AA39" s="75"/>
      <c r="AB39" s="76">
        <f t="shared" ref="AB39:AB45" si="36">D39*AA39/1000</f>
        <v>0</v>
      </c>
      <c r="AC39" s="77">
        <f t="shared" ref="AC39:AC45" si="37">AA39*E39</f>
        <v>0</v>
      </c>
      <c r="AD39" s="77">
        <f>AA39*F39</f>
        <v>0</v>
      </c>
      <c r="AE39" s="77"/>
      <c r="AF39" s="78"/>
      <c r="AG39" s="102">
        <f ca="1">J49+P49+V49+AB49</f>
        <v>8.342622739908</v>
      </c>
      <c r="AH39" s="102">
        <f ca="1">K49+Q49+W49+AC49</f>
        <v>12.79654972</v>
      </c>
      <c r="AI39" s="102">
        <f ca="1">L49+R49+X49+AD49</f>
        <v>18.067292768</v>
      </c>
      <c r="AJ39" s="102">
        <f ca="1">M49+S49+Y49+AE49</f>
        <v>2.91324768</v>
      </c>
      <c r="AK39" s="102">
        <f ca="1">N49+T49+Z49+AF49</f>
        <v>14.40198</v>
      </c>
    </row>
    <row r="40" spans="1:32">
      <c r="A40" s="45" t="s">
        <v>458</v>
      </c>
      <c r="B40" s="46" t="s">
        <v>98</v>
      </c>
      <c r="C40" s="46">
        <v>1</v>
      </c>
      <c r="D40" s="47">
        <v>375.8161</v>
      </c>
      <c r="E40" s="47">
        <v>0.5219</v>
      </c>
      <c r="F40" s="47">
        <v>0.8666</v>
      </c>
      <c r="G40" s="47"/>
      <c r="H40" s="48"/>
      <c r="I40" s="79">
        <f ca="1">工程量计算稿!E181</f>
        <v>0.238</v>
      </c>
      <c r="J40" s="76">
        <f ca="1" t="shared" si="30"/>
        <v>0.0894442318</v>
      </c>
      <c r="K40" s="77">
        <f ca="1" t="shared" si="31"/>
        <v>0.1242122</v>
      </c>
      <c r="L40" s="77">
        <f ca="1">I40*F40</f>
        <v>0.2062508</v>
      </c>
      <c r="M40" s="77"/>
      <c r="N40" s="78"/>
      <c r="O40" s="79">
        <f ca="1">工程量计算稿!E154+工程量计算稿!E157+工程量计算稿!E155+工程量计算稿!E156</f>
        <v>16.73608</v>
      </c>
      <c r="P40" s="76">
        <f ca="1" t="shared" si="32"/>
        <v>6.289688314888</v>
      </c>
      <c r="Q40" s="77">
        <f ca="1" t="shared" si="33"/>
        <v>8.734560152</v>
      </c>
      <c r="R40" s="77">
        <f ca="1">O40*F40</f>
        <v>14.503486928</v>
      </c>
      <c r="S40" s="77"/>
      <c r="T40" s="78"/>
      <c r="U40" s="79">
        <f ca="1">工程量计算稿!E201+工程量计算稿!E204</f>
        <v>0.544</v>
      </c>
      <c r="V40" s="76">
        <f ca="1" t="shared" si="34"/>
        <v>0.2044439584</v>
      </c>
      <c r="W40" s="77">
        <f ca="1" t="shared" si="35"/>
        <v>0.2839136</v>
      </c>
      <c r="X40" s="77">
        <f ca="1">U40*F40</f>
        <v>0.4714304</v>
      </c>
      <c r="Y40" s="77"/>
      <c r="Z40" s="78"/>
      <c r="AA40" s="75"/>
      <c r="AB40" s="76">
        <f t="shared" si="36"/>
        <v>0</v>
      </c>
      <c r="AC40" s="77">
        <f t="shared" si="37"/>
        <v>0</v>
      </c>
      <c r="AD40" s="77">
        <f>AA40*F40</f>
        <v>0</v>
      </c>
      <c r="AE40" s="77"/>
      <c r="AF40" s="78"/>
    </row>
    <row r="41" spans="1:32">
      <c r="A41" s="45" t="s">
        <v>459</v>
      </c>
      <c r="B41" s="46" t="s">
        <v>98</v>
      </c>
      <c r="C41" s="46">
        <v>1</v>
      </c>
      <c r="D41" s="47">
        <v>66.033</v>
      </c>
      <c r="E41" s="47">
        <v>0.25</v>
      </c>
      <c r="F41" s="47"/>
      <c r="G41" s="47">
        <f>534/1000</f>
        <v>0.534</v>
      </c>
      <c r="H41" s="48"/>
      <c r="I41" s="79">
        <f ca="1">工程量计算稿!E182</f>
        <v>4.508</v>
      </c>
      <c r="J41" s="76">
        <f ca="1" t="shared" si="30"/>
        <v>0.297676764</v>
      </c>
      <c r="K41" s="77">
        <f ca="1" t="shared" si="31"/>
        <v>1.127</v>
      </c>
      <c r="L41" s="77"/>
      <c r="M41" s="77">
        <f ca="1">I41*G41</f>
        <v>2.407272</v>
      </c>
      <c r="N41" s="78"/>
      <c r="O41" s="79">
        <f ca="1">工程量计算稿!E158</f>
        <v>0</v>
      </c>
      <c r="P41" s="76">
        <f ca="1" t="shared" si="32"/>
        <v>0</v>
      </c>
      <c r="Q41" s="77">
        <f ca="1" t="shared" si="33"/>
        <v>0</v>
      </c>
      <c r="R41" s="77"/>
      <c r="S41" s="77">
        <f ca="1">O41*G41</f>
        <v>0</v>
      </c>
      <c r="T41" s="78"/>
      <c r="U41" s="79">
        <f ca="1">工程量计算稿!E202</f>
        <v>0.94752</v>
      </c>
      <c r="V41" s="76">
        <f ca="1" t="shared" si="34"/>
        <v>0.06256758816</v>
      </c>
      <c r="W41" s="77">
        <f ca="1" t="shared" si="35"/>
        <v>0.23688</v>
      </c>
      <c r="X41" s="77"/>
      <c r="Y41" s="77">
        <f ca="1">U41*G41</f>
        <v>0.50597568</v>
      </c>
      <c r="Z41" s="78"/>
      <c r="AA41" s="75"/>
      <c r="AB41" s="76">
        <f t="shared" si="36"/>
        <v>0</v>
      </c>
      <c r="AC41" s="77">
        <f t="shared" si="37"/>
        <v>0</v>
      </c>
      <c r="AD41" s="77"/>
      <c r="AE41" s="77">
        <f>AA41*G41</f>
        <v>0</v>
      </c>
      <c r="AF41" s="78"/>
    </row>
    <row r="42" spans="1:32">
      <c r="A42" s="49" t="s">
        <v>460</v>
      </c>
      <c r="B42" s="46" t="s">
        <v>98</v>
      </c>
      <c r="C42" s="46">
        <v>1</v>
      </c>
      <c r="D42" s="47">
        <f>34.4/100*261</f>
        <v>89.784</v>
      </c>
      <c r="E42" s="47">
        <f>34.4/100*1.11</f>
        <v>0.38184</v>
      </c>
      <c r="F42" s="47"/>
      <c r="G42" s="47"/>
      <c r="H42" s="48">
        <f>108/100</f>
        <v>1.08</v>
      </c>
      <c r="I42" s="79"/>
      <c r="J42" s="76"/>
      <c r="K42" s="77"/>
      <c r="L42" s="77"/>
      <c r="M42" s="77"/>
      <c r="N42" s="78"/>
      <c r="O42" s="79"/>
      <c r="P42" s="76">
        <f t="shared" si="32"/>
        <v>0</v>
      </c>
      <c r="Q42" s="77">
        <f t="shared" si="33"/>
        <v>0</v>
      </c>
      <c r="R42" s="77"/>
      <c r="S42" s="77"/>
      <c r="T42" s="78"/>
      <c r="U42" s="79"/>
      <c r="V42" s="76">
        <f t="shared" si="34"/>
        <v>0</v>
      </c>
      <c r="W42" s="77">
        <f t="shared" si="35"/>
        <v>0</v>
      </c>
      <c r="X42" s="77"/>
      <c r="Y42" s="77"/>
      <c r="Z42" s="78"/>
      <c r="AA42" s="75"/>
      <c r="AB42" s="76">
        <f t="shared" si="36"/>
        <v>0</v>
      </c>
      <c r="AC42" s="77">
        <f t="shared" si="37"/>
        <v>0</v>
      </c>
      <c r="AD42" s="77"/>
      <c r="AE42" s="77"/>
      <c r="AF42" s="78">
        <f>AB42*H42</f>
        <v>0</v>
      </c>
    </row>
    <row r="43" spans="1:32">
      <c r="A43" s="45" t="s">
        <v>461</v>
      </c>
      <c r="B43" s="46" t="s">
        <v>98</v>
      </c>
      <c r="C43" s="46">
        <v>1</v>
      </c>
      <c r="D43" s="47">
        <v>7.717</v>
      </c>
      <c r="E43" s="47">
        <v>0.02</v>
      </c>
      <c r="F43" s="47"/>
      <c r="G43" s="47"/>
      <c r="H43" s="48"/>
      <c r="I43" s="79">
        <f ca="1">工程量计算稿!E185</f>
        <v>5.6992</v>
      </c>
      <c r="J43" s="76">
        <f ca="1" t="shared" ref="J43:J46" si="38">D43*I43/1000</f>
        <v>0.0439807264</v>
      </c>
      <c r="K43" s="77">
        <f ca="1" t="shared" ref="K43:K47" si="39">I43*E43</f>
        <v>0.113984</v>
      </c>
      <c r="L43" s="77"/>
      <c r="M43" s="77"/>
      <c r="N43" s="78"/>
      <c r="O43" s="79"/>
      <c r="P43" s="76">
        <f t="shared" si="32"/>
        <v>0</v>
      </c>
      <c r="Q43" s="77">
        <f t="shared" si="33"/>
        <v>0</v>
      </c>
      <c r="R43" s="77"/>
      <c r="S43" s="77"/>
      <c r="T43" s="78"/>
      <c r="U43" s="79">
        <f ca="1">工程量计算稿!E203</f>
        <v>6.2712</v>
      </c>
      <c r="V43" s="76">
        <f ca="1" t="shared" si="34"/>
        <v>0.0483948504</v>
      </c>
      <c r="W43" s="77">
        <f ca="1" t="shared" si="35"/>
        <v>0.125424</v>
      </c>
      <c r="X43" s="77"/>
      <c r="Y43" s="77"/>
      <c r="Z43" s="78"/>
      <c r="AA43" s="75"/>
      <c r="AB43" s="76">
        <f t="shared" si="36"/>
        <v>0</v>
      </c>
      <c r="AC43" s="77">
        <f t="shared" si="37"/>
        <v>0</v>
      </c>
      <c r="AD43" s="77"/>
      <c r="AE43" s="77"/>
      <c r="AF43" s="78"/>
    </row>
    <row r="44" spans="1:32">
      <c r="A44" s="45" t="s">
        <v>172</v>
      </c>
      <c r="B44" s="46" t="s">
        <v>113</v>
      </c>
      <c r="C44" s="46">
        <v>1</v>
      </c>
      <c r="D44" s="47">
        <f>403.17/100+99.48/100</f>
        <v>5.0265</v>
      </c>
      <c r="E44" s="47">
        <f>0.77/100+0.09/100</f>
        <v>0.0086</v>
      </c>
      <c r="F44" s="47"/>
      <c r="G44" s="47"/>
      <c r="H44" s="48"/>
      <c r="I44" s="79">
        <f>[1]结算审核表!N107</f>
        <v>5.62688</v>
      </c>
      <c r="J44" s="76">
        <f t="shared" si="38"/>
        <v>0.02828351232</v>
      </c>
      <c r="K44" s="77">
        <f t="shared" si="39"/>
        <v>0.048391168</v>
      </c>
      <c r="L44" s="77"/>
      <c r="M44" s="77"/>
      <c r="N44" s="78"/>
      <c r="O44" s="79">
        <f ca="1">工程量计算稿!E166</f>
        <v>22.145</v>
      </c>
      <c r="P44" s="76">
        <f ca="1" t="shared" si="32"/>
        <v>0.1113118425</v>
      </c>
      <c r="Q44" s="77">
        <f ca="1" t="shared" si="33"/>
        <v>0.190447</v>
      </c>
      <c r="R44" s="77"/>
      <c r="S44" s="77"/>
      <c r="T44" s="78"/>
      <c r="U44" s="79"/>
      <c r="V44" s="76">
        <f t="shared" si="34"/>
        <v>0</v>
      </c>
      <c r="W44" s="77">
        <f t="shared" si="35"/>
        <v>0</v>
      </c>
      <c r="X44" s="77"/>
      <c r="Y44" s="77"/>
      <c r="Z44" s="78"/>
      <c r="AA44" s="75"/>
      <c r="AB44" s="76">
        <f t="shared" si="36"/>
        <v>0</v>
      </c>
      <c r="AC44" s="77">
        <f t="shared" si="37"/>
        <v>0</v>
      </c>
      <c r="AD44" s="77"/>
      <c r="AE44" s="77"/>
      <c r="AF44" s="78"/>
    </row>
    <row r="45" spans="1:32">
      <c r="A45" s="49" t="s">
        <v>462</v>
      </c>
      <c r="B45" s="46" t="s">
        <v>113</v>
      </c>
      <c r="C45" s="46">
        <v>1</v>
      </c>
      <c r="D45" s="47">
        <v>52.043</v>
      </c>
      <c r="E45" s="47">
        <v>0.081</v>
      </c>
      <c r="F45" s="47">
        <v>0.129</v>
      </c>
      <c r="G45" s="47"/>
      <c r="H45" s="48"/>
      <c r="I45" s="79"/>
      <c r="J45" s="76">
        <f t="shared" si="38"/>
        <v>0</v>
      </c>
      <c r="K45" s="77"/>
      <c r="L45" s="77"/>
      <c r="M45" s="77"/>
      <c r="N45" s="78"/>
      <c r="O45" s="79"/>
      <c r="P45" s="76">
        <f t="shared" si="32"/>
        <v>0</v>
      </c>
      <c r="Q45" s="77">
        <f t="shared" si="33"/>
        <v>0</v>
      </c>
      <c r="R45" s="77">
        <f>O45*F45</f>
        <v>0</v>
      </c>
      <c r="S45" s="77"/>
      <c r="T45" s="78"/>
      <c r="U45" s="79"/>
      <c r="V45" s="76">
        <f t="shared" si="34"/>
        <v>0</v>
      </c>
      <c r="W45" s="77">
        <f t="shared" si="35"/>
        <v>0</v>
      </c>
      <c r="X45" s="77"/>
      <c r="Y45" s="77"/>
      <c r="Z45" s="78"/>
      <c r="AA45" s="75"/>
      <c r="AB45" s="76">
        <f t="shared" si="36"/>
        <v>0</v>
      </c>
      <c r="AC45" s="77">
        <f t="shared" si="37"/>
        <v>0</v>
      </c>
      <c r="AD45" s="77">
        <f>AB45*F45</f>
        <v>0</v>
      </c>
      <c r="AE45" s="77"/>
      <c r="AF45" s="78"/>
    </row>
    <row r="46" spans="1:32">
      <c r="A46" s="45" t="s">
        <v>463</v>
      </c>
      <c r="B46" s="46" t="s">
        <v>98</v>
      </c>
      <c r="C46" s="46">
        <v>1</v>
      </c>
      <c r="D46" s="50"/>
      <c r="E46" s="51">
        <v>0.204</v>
      </c>
      <c r="F46" s="51">
        <v>0.816</v>
      </c>
      <c r="G46" s="51"/>
      <c r="H46" s="52"/>
      <c r="I46" s="79"/>
      <c r="J46" s="76">
        <f t="shared" si="38"/>
        <v>0</v>
      </c>
      <c r="K46" s="80"/>
      <c r="L46" s="80"/>
      <c r="M46" s="80"/>
      <c r="N46" s="81"/>
      <c r="O46" s="79"/>
      <c r="P46" s="76">
        <f t="shared" si="32"/>
        <v>0</v>
      </c>
      <c r="Q46" s="77">
        <f t="shared" si="33"/>
        <v>0</v>
      </c>
      <c r="R46" s="77">
        <f>O46*F46</f>
        <v>0</v>
      </c>
      <c r="S46" s="80"/>
      <c r="T46" s="81"/>
      <c r="U46" s="79"/>
      <c r="V46" s="76">
        <f t="shared" si="34"/>
        <v>0</v>
      </c>
      <c r="W46" s="77">
        <f t="shared" si="35"/>
        <v>0</v>
      </c>
      <c r="X46" s="80"/>
      <c r="Y46" s="80"/>
      <c r="Z46" s="81"/>
      <c r="AA46" s="75"/>
      <c r="AB46" s="76"/>
      <c r="AC46" s="76">
        <f>E46*AB46/1000</f>
        <v>0</v>
      </c>
      <c r="AD46" s="76">
        <f>F46*AC46/1000</f>
        <v>0</v>
      </c>
      <c r="AE46" s="80"/>
      <c r="AF46" s="81"/>
    </row>
    <row r="47" spans="1:32">
      <c r="A47" s="45" t="s">
        <v>464</v>
      </c>
      <c r="B47" s="46" t="s">
        <v>98</v>
      </c>
      <c r="C47" s="46">
        <v>1</v>
      </c>
      <c r="D47" s="50">
        <v>284.83</v>
      </c>
      <c r="E47" s="51">
        <v>0.56</v>
      </c>
      <c r="F47" s="51">
        <v>0.84</v>
      </c>
      <c r="G47" s="51"/>
      <c r="H47" s="52"/>
      <c r="I47" s="86"/>
      <c r="J47" s="83">
        <f>I47*D47/1000</f>
        <v>0</v>
      </c>
      <c r="K47" s="84">
        <f t="shared" si="39"/>
        <v>0</v>
      </c>
      <c r="L47" s="84">
        <f>I47*F47</f>
        <v>0</v>
      </c>
      <c r="M47" s="84"/>
      <c r="N47" s="85"/>
      <c r="O47" s="86"/>
      <c r="P47" s="83"/>
      <c r="Q47" s="95"/>
      <c r="R47" s="95"/>
      <c r="S47" s="84"/>
      <c r="T47" s="85"/>
      <c r="U47" s="86"/>
      <c r="V47" s="83"/>
      <c r="W47" s="95"/>
      <c r="X47" s="84"/>
      <c r="Y47" s="84"/>
      <c r="Z47" s="85"/>
      <c r="AA47" s="82"/>
      <c r="AB47" s="76">
        <f t="shared" ref="AB47:AD47" si="40">D47*AA47/1000</f>
        <v>0</v>
      </c>
      <c r="AC47" s="76">
        <f t="shared" si="40"/>
        <v>0</v>
      </c>
      <c r="AD47" s="76">
        <f t="shared" si="40"/>
        <v>0</v>
      </c>
      <c r="AE47" s="84"/>
      <c r="AF47" s="85"/>
    </row>
    <row r="48" spans="1:32">
      <c r="A48" s="45" t="s">
        <v>465</v>
      </c>
      <c r="B48" s="46" t="s">
        <v>98</v>
      </c>
      <c r="C48" s="46">
        <v>1</v>
      </c>
      <c r="D48" s="53"/>
      <c r="E48" s="53"/>
      <c r="F48" s="53"/>
      <c r="G48" s="51"/>
      <c r="H48" s="52">
        <v>1.16</v>
      </c>
      <c r="I48" s="79"/>
      <c r="J48" s="83"/>
      <c r="K48" s="84"/>
      <c r="L48" s="84"/>
      <c r="M48" s="84"/>
      <c r="N48" s="85"/>
      <c r="O48" s="86">
        <f ca="1">工程量计算稿!E177</f>
        <v>12.4155</v>
      </c>
      <c r="P48" s="83"/>
      <c r="Q48" s="95"/>
      <c r="R48" s="95"/>
      <c r="S48" s="84"/>
      <c r="T48" s="85">
        <f ca="1">O48*H48</f>
        <v>14.40198</v>
      </c>
      <c r="U48" s="86"/>
      <c r="V48" s="83"/>
      <c r="W48" s="95"/>
      <c r="X48" s="84"/>
      <c r="Y48" s="84"/>
      <c r="Z48" s="85"/>
      <c r="AA48" s="97"/>
      <c r="AB48" s="83"/>
      <c r="AC48" s="84"/>
      <c r="AD48" s="84"/>
      <c r="AE48" s="84"/>
      <c r="AF48" s="85"/>
    </row>
    <row r="49" ht="21" spans="1:32">
      <c r="A49" s="64"/>
      <c r="B49" s="65"/>
      <c r="C49" s="65"/>
      <c r="D49" s="65"/>
      <c r="E49" s="65"/>
      <c r="F49" s="65"/>
      <c r="G49" s="65"/>
      <c r="H49" s="66"/>
      <c r="I49" s="89" t="s">
        <v>466</v>
      </c>
      <c r="J49" s="93">
        <f ca="1" t="shared" ref="J49:M49" si="41">SUM(J39:J47)</f>
        <v>0.57850681852</v>
      </c>
      <c r="K49" s="93">
        <f ca="1" t="shared" si="41"/>
        <v>1.598547368</v>
      </c>
      <c r="L49" s="93">
        <f ca="1" t="shared" si="41"/>
        <v>0.5008948</v>
      </c>
      <c r="M49" s="93">
        <f ca="1" t="shared" si="41"/>
        <v>2.407272</v>
      </c>
      <c r="N49" s="94"/>
      <c r="O49" s="89" t="s">
        <v>466</v>
      </c>
      <c r="P49" s="93">
        <f ca="1">SUM(P39:P48)</f>
        <v>7.448709524428</v>
      </c>
      <c r="Q49" s="93">
        <f ca="1">SUM(Q39:Q48)</f>
        <v>10.551784752</v>
      </c>
      <c r="R49" s="93">
        <f ca="1">SUM(R39:R48)</f>
        <v>17.094967568</v>
      </c>
      <c r="S49" s="93">
        <f ca="1">SUM(S39:S48)</f>
        <v>0</v>
      </c>
      <c r="T49" s="93">
        <f ca="1">SUM(T39:T48)</f>
        <v>14.40198</v>
      </c>
      <c r="U49" s="89" t="s">
        <v>466</v>
      </c>
      <c r="V49" s="93">
        <f ca="1" t="shared" ref="V49:Y49" si="42">SUM(V39:V46)</f>
        <v>0.31540639696</v>
      </c>
      <c r="W49" s="93">
        <f ca="1" t="shared" si="42"/>
        <v>0.6462176</v>
      </c>
      <c r="X49" s="88">
        <f ca="1" t="shared" si="42"/>
        <v>0.4714304</v>
      </c>
      <c r="Y49" s="88">
        <f ca="1" t="shared" si="42"/>
        <v>0.50597568</v>
      </c>
      <c r="Z49" s="94"/>
      <c r="AA49" s="89" t="s">
        <v>466</v>
      </c>
      <c r="AB49" s="93">
        <f t="shared" ref="AB49:AE49" si="43">SUM(AB39:AB47)</f>
        <v>0</v>
      </c>
      <c r="AC49" s="93">
        <f t="shared" si="43"/>
        <v>0</v>
      </c>
      <c r="AD49" s="93">
        <f t="shared" si="43"/>
        <v>0</v>
      </c>
      <c r="AE49" s="93">
        <f t="shared" si="43"/>
        <v>0</v>
      </c>
      <c r="AF49" s="94"/>
    </row>
    <row r="50" ht="20.25" spans="1:26">
      <c r="A50" s="57"/>
      <c r="B50" s="57"/>
      <c r="C50" s="57"/>
      <c r="D50" s="57"/>
      <c r="E50" s="57"/>
      <c r="F50" s="57"/>
      <c r="G50" s="57"/>
      <c r="H50" s="57"/>
      <c r="I50" s="90"/>
      <c r="J50" s="91"/>
      <c r="K50" s="91"/>
      <c r="L50" s="91"/>
      <c r="M50" s="91"/>
      <c r="N50" s="92"/>
      <c r="O50" s="90"/>
      <c r="P50" s="91"/>
      <c r="Q50" s="91"/>
      <c r="R50" s="96"/>
      <c r="S50" s="96"/>
      <c r="T50" s="92"/>
      <c r="U50" s="90"/>
      <c r="V50" s="91"/>
      <c r="W50" s="91"/>
      <c r="X50" s="96"/>
      <c r="Y50" s="96"/>
      <c r="Z50" s="92"/>
    </row>
    <row r="51" ht="21" spans="1:26">
      <c r="A51" s="57"/>
      <c r="B51" s="57"/>
      <c r="C51" s="57"/>
      <c r="D51" s="57"/>
      <c r="E51" s="57"/>
      <c r="F51" s="57"/>
      <c r="G51" s="57"/>
      <c r="H51" s="57"/>
      <c r="I51" s="90"/>
      <c r="J51" s="91"/>
      <c r="K51" s="91"/>
      <c r="L51" s="91"/>
      <c r="M51" s="91"/>
      <c r="N51" s="92"/>
      <c r="O51" s="90"/>
      <c r="P51" s="91"/>
      <c r="Q51" s="91"/>
      <c r="R51" s="96"/>
      <c r="S51" s="96"/>
      <c r="T51" s="92"/>
      <c r="U51" s="90"/>
      <c r="V51" s="91"/>
      <c r="W51" s="91"/>
      <c r="X51" s="96"/>
      <c r="Y51" s="96"/>
      <c r="Z51" s="92"/>
    </row>
    <row r="52" ht="21" spans="1:32">
      <c r="A52" s="58" t="s">
        <v>444</v>
      </c>
      <c r="B52" s="59"/>
      <c r="C52" s="59"/>
      <c r="D52" s="59"/>
      <c r="E52" s="59"/>
      <c r="F52" s="59"/>
      <c r="G52" s="59"/>
      <c r="H52" s="60"/>
      <c r="I52" s="58" t="s">
        <v>354</v>
      </c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60"/>
    </row>
    <row r="53" spans="1:32">
      <c r="A53" s="61" t="s">
        <v>22</v>
      </c>
      <c r="B53" s="62"/>
      <c r="C53" s="62"/>
      <c r="D53" s="62"/>
      <c r="E53" s="62"/>
      <c r="F53" s="62"/>
      <c r="G53" s="62"/>
      <c r="H53" s="63"/>
      <c r="I53" s="70" t="s">
        <v>445</v>
      </c>
      <c r="J53" s="68"/>
      <c r="K53" s="68"/>
      <c r="L53" s="68"/>
      <c r="M53" s="68"/>
      <c r="N53" s="69"/>
      <c r="O53" s="70" t="s">
        <v>95</v>
      </c>
      <c r="P53" s="68"/>
      <c r="Q53" s="68"/>
      <c r="R53" s="68"/>
      <c r="S53" s="68"/>
      <c r="T53" s="69"/>
      <c r="U53" s="70" t="s">
        <v>468</v>
      </c>
      <c r="V53" s="68"/>
      <c r="W53" s="68"/>
      <c r="X53" s="68"/>
      <c r="Y53" s="68"/>
      <c r="Z53" s="69"/>
      <c r="AA53" s="70" t="s">
        <v>446</v>
      </c>
      <c r="AB53" s="68"/>
      <c r="AC53" s="68"/>
      <c r="AD53" s="68"/>
      <c r="AE53" s="68"/>
      <c r="AF53" s="69"/>
    </row>
    <row r="54" spans="1:37">
      <c r="A54" s="39" t="s">
        <v>447</v>
      </c>
      <c r="B54" s="40" t="s">
        <v>25</v>
      </c>
      <c r="C54" s="41" t="s">
        <v>91</v>
      </c>
      <c r="D54" s="42" t="s">
        <v>448</v>
      </c>
      <c r="E54" s="42"/>
      <c r="F54" s="42"/>
      <c r="G54" s="42"/>
      <c r="H54" s="43"/>
      <c r="I54" s="74" t="s">
        <v>91</v>
      </c>
      <c r="J54" s="72" t="s">
        <v>449</v>
      </c>
      <c r="K54" s="72"/>
      <c r="L54" s="72"/>
      <c r="M54" s="72"/>
      <c r="N54" s="73"/>
      <c r="O54" s="74" t="s">
        <v>91</v>
      </c>
      <c r="P54" s="72" t="s">
        <v>449</v>
      </c>
      <c r="Q54" s="72"/>
      <c r="R54" s="72"/>
      <c r="S54" s="72"/>
      <c r="T54" s="73"/>
      <c r="U54" s="74" t="s">
        <v>91</v>
      </c>
      <c r="V54" s="72" t="s">
        <v>449</v>
      </c>
      <c r="W54" s="72"/>
      <c r="X54" s="72"/>
      <c r="Y54" s="72"/>
      <c r="Z54" s="73"/>
      <c r="AA54" s="71" t="s">
        <v>91</v>
      </c>
      <c r="AB54" s="72" t="s">
        <v>449</v>
      </c>
      <c r="AC54" s="72"/>
      <c r="AD54" s="72"/>
      <c r="AE54" s="72"/>
      <c r="AF54" s="73"/>
      <c r="AG54" s="99" t="s">
        <v>450</v>
      </c>
      <c r="AH54" s="99"/>
      <c r="AI54" s="99"/>
      <c r="AJ54" s="99"/>
      <c r="AK54" s="99"/>
    </row>
    <row r="55" ht="24" spans="1:37">
      <c r="A55" s="39"/>
      <c r="B55" s="40"/>
      <c r="C55" s="41"/>
      <c r="D55" s="42" t="s">
        <v>451</v>
      </c>
      <c r="E55" s="42" t="s">
        <v>452</v>
      </c>
      <c r="F55" s="42" t="s">
        <v>453</v>
      </c>
      <c r="G55" s="44" t="s">
        <v>454</v>
      </c>
      <c r="H55" s="43" t="s">
        <v>455</v>
      </c>
      <c r="I55" s="74"/>
      <c r="J55" s="72" t="s">
        <v>456</v>
      </c>
      <c r="K55" s="72" t="s">
        <v>452</v>
      </c>
      <c r="L55" s="72" t="s">
        <v>453</v>
      </c>
      <c r="M55" s="72" t="s">
        <v>467</v>
      </c>
      <c r="N55" s="73" t="s">
        <v>455</v>
      </c>
      <c r="O55" s="74"/>
      <c r="P55" s="72" t="s">
        <v>456</v>
      </c>
      <c r="Q55" s="72" t="s">
        <v>452</v>
      </c>
      <c r="R55" s="72" t="s">
        <v>453</v>
      </c>
      <c r="S55" s="72" t="s">
        <v>467</v>
      </c>
      <c r="T55" s="73" t="s">
        <v>455</v>
      </c>
      <c r="U55" s="74"/>
      <c r="V55" s="72" t="s">
        <v>456</v>
      </c>
      <c r="W55" s="72" t="s">
        <v>452</v>
      </c>
      <c r="X55" s="72" t="s">
        <v>453</v>
      </c>
      <c r="Y55" s="72" t="s">
        <v>467</v>
      </c>
      <c r="Z55" s="73" t="s">
        <v>455</v>
      </c>
      <c r="AA55" s="71"/>
      <c r="AB55" s="72" t="s">
        <v>456</v>
      </c>
      <c r="AC55" s="72" t="s">
        <v>452</v>
      </c>
      <c r="AD55" s="72" t="s">
        <v>453</v>
      </c>
      <c r="AE55" s="72" t="s">
        <v>467</v>
      </c>
      <c r="AF55" s="73" t="s">
        <v>455</v>
      </c>
      <c r="AG55" s="101" t="s">
        <v>456</v>
      </c>
      <c r="AH55" s="72" t="s">
        <v>452</v>
      </c>
      <c r="AI55" s="72" t="s">
        <v>453</v>
      </c>
      <c r="AJ55" s="72" t="s">
        <v>454</v>
      </c>
      <c r="AK55" s="72" t="s">
        <v>455</v>
      </c>
    </row>
    <row r="56" spans="1:37">
      <c r="A56" s="45" t="s">
        <v>457</v>
      </c>
      <c r="B56" s="46" t="s">
        <v>98</v>
      </c>
      <c r="C56" s="46">
        <v>1</v>
      </c>
      <c r="D56" s="47">
        <v>350.3576</v>
      </c>
      <c r="E56" s="47">
        <v>0.544</v>
      </c>
      <c r="F56" s="47">
        <v>0.8666</v>
      </c>
      <c r="G56" s="47"/>
      <c r="H56" s="48"/>
      <c r="I56" s="79"/>
      <c r="J56" s="76">
        <f t="shared" ref="J56:J58" si="44">D56*I56/1000</f>
        <v>0</v>
      </c>
      <c r="K56" s="77">
        <f t="shared" ref="K56:K58" si="45">I56*E56</f>
        <v>0</v>
      </c>
      <c r="L56" s="77">
        <f>I56*F56</f>
        <v>0</v>
      </c>
      <c r="M56" s="77"/>
      <c r="N56" s="78"/>
      <c r="O56" s="79">
        <f ca="1">工程量计算稿!E284</f>
        <v>0.6845</v>
      </c>
      <c r="P56" s="76">
        <f ca="1" t="shared" ref="P56:P63" si="46">D56*O56/1000</f>
        <v>0.2398197772</v>
      </c>
      <c r="Q56" s="77">
        <f ca="1" t="shared" ref="Q56:Q63" si="47">O56*E56</f>
        <v>0.372368</v>
      </c>
      <c r="R56" s="77">
        <f ca="1">O56*F56</f>
        <v>0.5931877</v>
      </c>
      <c r="S56" s="77"/>
      <c r="T56" s="78"/>
      <c r="U56" s="79">
        <f ca="1">工程量计算稿!E293</f>
        <v>0.198</v>
      </c>
      <c r="V56" s="76">
        <f ca="1" t="shared" ref="V56:V63" si="48">D56*U56/1000</f>
        <v>0.0693708048</v>
      </c>
      <c r="W56" s="77">
        <f ca="1" t="shared" ref="W56:W63" si="49">U56*E56</f>
        <v>0.107712</v>
      </c>
      <c r="X56" s="77">
        <f ca="1">U56*F56</f>
        <v>0.1715868</v>
      </c>
      <c r="Y56" s="77"/>
      <c r="Z56" s="78"/>
      <c r="AA56" s="75"/>
      <c r="AB56" s="76">
        <f t="shared" ref="AB56:AB62" si="50">D56*AA56/1000</f>
        <v>0</v>
      </c>
      <c r="AC56" s="77">
        <f t="shared" ref="AC56:AC62" si="51">AA56*E56</f>
        <v>0</v>
      </c>
      <c r="AD56" s="77">
        <f>AA56*F56</f>
        <v>0</v>
      </c>
      <c r="AE56" s="77"/>
      <c r="AF56" s="78"/>
      <c r="AG56" s="102">
        <f ca="1" t="shared" ref="AG56:AK56" si="52">J66+P66+V66+AB66</f>
        <v>4.6670239318132</v>
      </c>
      <c r="AH56" s="102">
        <f ca="1" t="shared" si="52"/>
        <v>6.6596062028</v>
      </c>
      <c r="AI56" s="102">
        <f ca="1" t="shared" si="52"/>
        <v>10.4989560592</v>
      </c>
      <c r="AJ56" s="102">
        <f ca="1" t="shared" si="52"/>
        <v>0.32655168</v>
      </c>
      <c r="AK56" s="102">
        <f t="shared" si="52"/>
        <v>0</v>
      </c>
    </row>
    <row r="57" spans="1:32">
      <c r="A57" s="45" t="s">
        <v>458</v>
      </c>
      <c r="B57" s="46" t="s">
        <v>98</v>
      </c>
      <c r="C57" s="46">
        <v>1</v>
      </c>
      <c r="D57" s="47">
        <v>375.8161</v>
      </c>
      <c r="E57" s="47">
        <v>0.5219</v>
      </c>
      <c r="F57" s="47">
        <v>0.8666</v>
      </c>
      <c r="G57" s="47"/>
      <c r="H57" s="48"/>
      <c r="I57" s="79">
        <f ca="1">工程量计算稿!E302</f>
        <v>0</v>
      </c>
      <c r="J57" s="76">
        <f ca="1" t="shared" si="44"/>
        <v>0</v>
      </c>
      <c r="K57" s="77">
        <f ca="1" t="shared" si="45"/>
        <v>0</v>
      </c>
      <c r="L57" s="77">
        <f ca="1">I57*F57</f>
        <v>0</v>
      </c>
      <c r="M57" s="77"/>
      <c r="N57" s="78"/>
      <c r="O57" s="79">
        <f ca="1">工程量计算稿!E269+工程量计算稿!E270+工程量计算稿!E271</f>
        <v>11.140212</v>
      </c>
      <c r="P57" s="76">
        <f ca="1" t="shared" si="46"/>
        <v>4.1866710270132</v>
      </c>
      <c r="Q57" s="77">
        <f ca="1" t="shared" si="47"/>
        <v>5.8140766428</v>
      </c>
      <c r="R57" s="77">
        <f ca="1">O57*F57</f>
        <v>9.6541077192</v>
      </c>
      <c r="S57" s="77"/>
      <c r="T57" s="78"/>
      <c r="U57" s="79">
        <f ca="1">工程量计算稿!E296</f>
        <v>0.0924</v>
      </c>
      <c r="V57" s="76">
        <f ca="1" t="shared" si="48"/>
        <v>0.03472540764</v>
      </c>
      <c r="W57" s="77">
        <f ca="1" t="shared" si="49"/>
        <v>0.04822356</v>
      </c>
      <c r="X57" s="77">
        <f ca="1">U57*F57</f>
        <v>0.08007384</v>
      </c>
      <c r="Y57" s="77"/>
      <c r="Z57" s="78"/>
      <c r="AA57" s="75"/>
      <c r="AB57" s="76">
        <f t="shared" si="50"/>
        <v>0</v>
      </c>
      <c r="AC57" s="77">
        <f t="shared" si="51"/>
        <v>0</v>
      </c>
      <c r="AD57" s="77">
        <f>AA57*F57</f>
        <v>0</v>
      </c>
      <c r="AE57" s="77"/>
      <c r="AF57" s="78"/>
    </row>
    <row r="58" spans="1:32">
      <c r="A58" s="45" t="s">
        <v>459</v>
      </c>
      <c r="B58" s="46" t="s">
        <v>98</v>
      </c>
      <c r="C58" s="46">
        <v>1</v>
      </c>
      <c r="D58" s="47">
        <v>66.033</v>
      </c>
      <c r="E58" s="47">
        <v>0.25</v>
      </c>
      <c r="F58" s="47"/>
      <c r="G58" s="47">
        <f>534/1000</f>
        <v>0.534</v>
      </c>
      <c r="H58" s="48"/>
      <c r="I58" s="79">
        <f ca="1">工程量计算稿!E303</f>
        <v>0</v>
      </c>
      <c r="J58" s="76">
        <f ca="1" t="shared" si="44"/>
        <v>0</v>
      </c>
      <c r="K58" s="77">
        <f ca="1" t="shared" si="45"/>
        <v>0</v>
      </c>
      <c r="L58" s="77"/>
      <c r="M58" s="77">
        <f ca="1">I58*G58</f>
        <v>0</v>
      </c>
      <c r="N58" s="78"/>
      <c r="O58" s="79"/>
      <c r="P58" s="76">
        <f t="shared" si="46"/>
        <v>0</v>
      </c>
      <c r="Q58" s="77">
        <f t="shared" si="47"/>
        <v>0</v>
      </c>
      <c r="R58" s="77"/>
      <c r="S58" s="77">
        <f>O58*G58</f>
        <v>0</v>
      </c>
      <c r="T58" s="78"/>
      <c r="U58" s="79">
        <f ca="1">工程量计算稿!E294</f>
        <v>0.61152</v>
      </c>
      <c r="V58" s="76">
        <f ca="1" t="shared" si="48"/>
        <v>0.04038050016</v>
      </c>
      <c r="W58" s="77">
        <f ca="1" t="shared" si="49"/>
        <v>0.15288</v>
      </c>
      <c r="X58" s="77"/>
      <c r="Y58" s="77">
        <f ca="1">U58*G58</f>
        <v>0.32655168</v>
      </c>
      <c r="Z58" s="78"/>
      <c r="AA58" s="75"/>
      <c r="AB58" s="76">
        <f t="shared" si="50"/>
        <v>0</v>
      </c>
      <c r="AC58" s="77">
        <f t="shared" si="51"/>
        <v>0</v>
      </c>
      <c r="AD58" s="77"/>
      <c r="AE58" s="77">
        <f>AA58*G58</f>
        <v>0</v>
      </c>
      <c r="AF58" s="78"/>
    </row>
    <row r="59" spans="1:32">
      <c r="A59" s="49" t="s">
        <v>460</v>
      </c>
      <c r="B59" s="46" t="s">
        <v>98</v>
      </c>
      <c r="C59" s="46">
        <v>1</v>
      </c>
      <c r="D59" s="47">
        <f>34.4/100*261</f>
        <v>89.784</v>
      </c>
      <c r="E59" s="47">
        <f>34.4/100*1.11</f>
        <v>0.38184</v>
      </c>
      <c r="F59" s="47"/>
      <c r="G59" s="47"/>
      <c r="H59" s="48">
        <f>108/100</f>
        <v>1.08</v>
      </c>
      <c r="I59" s="79"/>
      <c r="J59" s="76"/>
      <c r="K59" s="77"/>
      <c r="L59" s="77"/>
      <c r="M59" s="77"/>
      <c r="N59" s="78"/>
      <c r="O59" s="79"/>
      <c r="P59" s="76">
        <f t="shared" si="46"/>
        <v>0</v>
      </c>
      <c r="Q59" s="77">
        <f t="shared" si="47"/>
        <v>0</v>
      </c>
      <c r="R59" s="77"/>
      <c r="S59" s="77"/>
      <c r="T59" s="78"/>
      <c r="U59" s="79"/>
      <c r="V59" s="76">
        <f t="shared" si="48"/>
        <v>0</v>
      </c>
      <c r="W59" s="77">
        <f t="shared" si="49"/>
        <v>0</v>
      </c>
      <c r="X59" s="77"/>
      <c r="Y59" s="77"/>
      <c r="Z59" s="78"/>
      <c r="AA59" s="75"/>
      <c r="AB59" s="76">
        <f t="shared" si="50"/>
        <v>0</v>
      </c>
      <c r="AC59" s="77">
        <f t="shared" si="51"/>
        <v>0</v>
      </c>
      <c r="AD59" s="77"/>
      <c r="AE59" s="77"/>
      <c r="AF59" s="78">
        <f>AB59*H59</f>
        <v>0</v>
      </c>
    </row>
    <row r="60" spans="1:32">
      <c r="A60" s="45" t="s">
        <v>461</v>
      </c>
      <c r="B60" s="46" t="s">
        <v>98</v>
      </c>
      <c r="C60" s="46">
        <v>1</v>
      </c>
      <c r="D60" s="47">
        <v>7.717</v>
      </c>
      <c r="E60" s="47">
        <v>0.02</v>
      </c>
      <c r="F60" s="47"/>
      <c r="G60" s="47"/>
      <c r="H60" s="48"/>
      <c r="I60" s="79">
        <f ca="1">工程量计算稿!E304</f>
        <v>0</v>
      </c>
      <c r="J60" s="76">
        <f ca="1" t="shared" ref="J60:J63" si="53">D60*I60/1000</f>
        <v>0</v>
      </c>
      <c r="K60" s="77">
        <f ca="1" t="shared" ref="K60:K64" si="54">I60*E60</f>
        <v>0</v>
      </c>
      <c r="L60" s="77"/>
      <c r="M60" s="77"/>
      <c r="N60" s="78"/>
      <c r="O60" s="79"/>
      <c r="P60" s="76">
        <f t="shared" si="46"/>
        <v>0</v>
      </c>
      <c r="Q60" s="77">
        <f t="shared" si="47"/>
        <v>0</v>
      </c>
      <c r="R60" s="77"/>
      <c r="S60" s="77"/>
      <c r="T60" s="78"/>
      <c r="U60" s="79">
        <f ca="1">工程量计算稿!E295</f>
        <v>0</v>
      </c>
      <c r="V60" s="76">
        <f ca="1" t="shared" si="48"/>
        <v>0</v>
      </c>
      <c r="W60" s="77">
        <f ca="1" t="shared" si="49"/>
        <v>0</v>
      </c>
      <c r="X60" s="77"/>
      <c r="Y60" s="77"/>
      <c r="Z60" s="78"/>
      <c r="AA60" s="75"/>
      <c r="AB60" s="76">
        <f t="shared" si="50"/>
        <v>0</v>
      </c>
      <c r="AC60" s="77">
        <f t="shared" si="51"/>
        <v>0</v>
      </c>
      <c r="AD60" s="77"/>
      <c r="AE60" s="77"/>
      <c r="AF60" s="78"/>
    </row>
    <row r="61" spans="1:32">
      <c r="A61" s="45" t="s">
        <v>172</v>
      </c>
      <c r="B61" s="46" t="s">
        <v>113</v>
      </c>
      <c r="C61" s="46">
        <v>1</v>
      </c>
      <c r="D61" s="47">
        <f>403.17/100+99.48/100</f>
        <v>5.0265</v>
      </c>
      <c r="E61" s="47">
        <f>0.77/100+0.09/100</f>
        <v>0.0086</v>
      </c>
      <c r="F61" s="47"/>
      <c r="G61" s="47"/>
      <c r="H61" s="48"/>
      <c r="I61" s="79"/>
      <c r="J61" s="76">
        <f t="shared" si="53"/>
        <v>0</v>
      </c>
      <c r="K61" s="77">
        <f t="shared" si="54"/>
        <v>0</v>
      </c>
      <c r="L61" s="77"/>
      <c r="M61" s="77"/>
      <c r="N61" s="78"/>
      <c r="O61" s="79">
        <f ca="1">工程量计算稿!E279</f>
        <v>19.11</v>
      </c>
      <c r="P61" s="76">
        <f ca="1" t="shared" si="46"/>
        <v>0.096056415</v>
      </c>
      <c r="Q61" s="77">
        <f ca="1" t="shared" si="47"/>
        <v>0.164346</v>
      </c>
      <c r="R61" s="77"/>
      <c r="S61" s="77"/>
      <c r="T61" s="78"/>
      <c r="U61" s="79"/>
      <c r="V61" s="76">
        <f t="shared" si="48"/>
        <v>0</v>
      </c>
      <c r="W61" s="77">
        <f t="shared" si="49"/>
        <v>0</v>
      </c>
      <c r="X61" s="77"/>
      <c r="Y61" s="77"/>
      <c r="Z61" s="78"/>
      <c r="AA61" s="75"/>
      <c r="AB61" s="76">
        <f t="shared" si="50"/>
        <v>0</v>
      </c>
      <c r="AC61" s="77">
        <f t="shared" si="51"/>
        <v>0</v>
      </c>
      <c r="AD61" s="77"/>
      <c r="AE61" s="77"/>
      <c r="AF61" s="78"/>
    </row>
    <row r="62" spans="1:32">
      <c r="A62" s="49" t="s">
        <v>462</v>
      </c>
      <c r="B62" s="46" t="s">
        <v>113</v>
      </c>
      <c r="C62" s="46">
        <v>1</v>
      </c>
      <c r="D62" s="47">
        <v>52.043</v>
      </c>
      <c r="E62" s="47">
        <v>0.081</v>
      </c>
      <c r="F62" s="47">
        <v>0.129</v>
      </c>
      <c r="G62" s="47"/>
      <c r="H62" s="48"/>
      <c r="I62" s="79"/>
      <c r="J62" s="76">
        <f t="shared" si="53"/>
        <v>0</v>
      </c>
      <c r="K62" s="77"/>
      <c r="L62" s="77"/>
      <c r="M62" s="77"/>
      <c r="N62" s="78"/>
      <c r="O62" s="79"/>
      <c r="P62" s="76">
        <f t="shared" si="46"/>
        <v>0</v>
      </c>
      <c r="Q62" s="77">
        <f t="shared" si="47"/>
        <v>0</v>
      </c>
      <c r="R62" s="77">
        <f>O62*F62</f>
        <v>0</v>
      </c>
      <c r="S62" s="77"/>
      <c r="T62" s="78"/>
      <c r="U62" s="79"/>
      <c r="V62" s="76">
        <f t="shared" si="48"/>
        <v>0</v>
      </c>
      <c r="W62" s="77">
        <f t="shared" si="49"/>
        <v>0</v>
      </c>
      <c r="X62" s="77"/>
      <c r="Y62" s="77"/>
      <c r="Z62" s="78"/>
      <c r="AA62" s="75"/>
      <c r="AB62" s="76">
        <f t="shared" si="50"/>
        <v>0</v>
      </c>
      <c r="AC62" s="77">
        <f t="shared" si="51"/>
        <v>0</v>
      </c>
      <c r="AD62" s="77">
        <f>AB62*F62</f>
        <v>0</v>
      </c>
      <c r="AE62" s="77"/>
      <c r="AF62" s="78"/>
    </row>
    <row r="63" spans="1:32">
      <c r="A63" s="45" t="s">
        <v>463</v>
      </c>
      <c r="B63" s="46" t="s">
        <v>98</v>
      </c>
      <c r="C63" s="46">
        <v>1</v>
      </c>
      <c r="D63" s="50"/>
      <c r="E63" s="51">
        <v>0.204</v>
      </c>
      <c r="F63" s="51">
        <v>0.816</v>
      </c>
      <c r="G63" s="51"/>
      <c r="H63" s="52"/>
      <c r="I63" s="79"/>
      <c r="J63" s="76">
        <f t="shared" si="53"/>
        <v>0</v>
      </c>
      <c r="K63" s="80"/>
      <c r="L63" s="80"/>
      <c r="M63" s="80"/>
      <c r="N63" s="81"/>
      <c r="O63" s="79"/>
      <c r="P63" s="76">
        <f t="shared" si="46"/>
        <v>0</v>
      </c>
      <c r="Q63" s="77">
        <f t="shared" si="47"/>
        <v>0</v>
      </c>
      <c r="R63" s="77">
        <f>O63*F63</f>
        <v>0</v>
      </c>
      <c r="S63" s="80"/>
      <c r="T63" s="81"/>
      <c r="U63" s="79"/>
      <c r="V63" s="76">
        <f t="shared" si="48"/>
        <v>0</v>
      </c>
      <c r="W63" s="77">
        <f t="shared" si="49"/>
        <v>0</v>
      </c>
      <c r="X63" s="80"/>
      <c r="Y63" s="80"/>
      <c r="Z63" s="81"/>
      <c r="AA63" s="75"/>
      <c r="AB63" s="76"/>
      <c r="AC63" s="76">
        <f>E63*AB63/1000</f>
        <v>0</v>
      </c>
      <c r="AD63" s="76">
        <f>F63*AC63/1000</f>
        <v>0</v>
      </c>
      <c r="AE63" s="80"/>
      <c r="AF63" s="81"/>
    </row>
    <row r="64" spans="1:32">
      <c r="A64" s="45" t="s">
        <v>464</v>
      </c>
      <c r="B64" s="46" t="s">
        <v>98</v>
      </c>
      <c r="C64" s="46">
        <v>1</v>
      </c>
      <c r="D64" s="50">
        <v>284.83</v>
      </c>
      <c r="E64" s="51">
        <v>0.56</v>
      </c>
      <c r="F64" s="51">
        <v>0.84</v>
      </c>
      <c r="G64" s="51"/>
      <c r="H64" s="52"/>
      <c r="I64" s="86"/>
      <c r="J64" s="83">
        <f>I64*D64/1000</f>
        <v>0</v>
      </c>
      <c r="K64" s="84">
        <f t="shared" si="54"/>
        <v>0</v>
      </c>
      <c r="L64" s="84">
        <f>I64*F64</f>
        <v>0</v>
      </c>
      <c r="M64" s="84"/>
      <c r="N64" s="85"/>
      <c r="O64" s="86"/>
      <c r="P64" s="83"/>
      <c r="Q64" s="95"/>
      <c r="R64" s="95"/>
      <c r="S64" s="84"/>
      <c r="T64" s="85"/>
      <c r="U64" s="86"/>
      <c r="V64" s="83"/>
      <c r="W64" s="95"/>
      <c r="X64" s="84"/>
      <c r="Y64" s="84"/>
      <c r="Z64" s="85"/>
      <c r="AA64" s="82"/>
      <c r="AB64" s="76">
        <f t="shared" ref="AB64:AD64" si="55">D64*AA64/1000</f>
        <v>0</v>
      </c>
      <c r="AC64" s="76">
        <f t="shared" si="55"/>
        <v>0</v>
      </c>
      <c r="AD64" s="76">
        <f t="shared" si="55"/>
        <v>0</v>
      </c>
      <c r="AE64" s="84"/>
      <c r="AF64" s="85"/>
    </row>
    <row r="65" spans="1:32">
      <c r="A65" s="45" t="s">
        <v>465</v>
      </c>
      <c r="B65" s="46" t="s">
        <v>98</v>
      </c>
      <c r="C65" s="46">
        <v>1</v>
      </c>
      <c r="D65" s="53"/>
      <c r="E65" s="53"/>
      <c r="F65" s="53"/>
      <c r="G65" s="51"/>
      <c r="H65" s="52">
        <v>1.16</v>
      </c>
      <c r="I65" s="79"/>
      <c r="J65" s="83"/>
      <c r="K65" s="84"/>
      <c r="L65" s="84"/>
      <c r="M65" s="84"/>
      <c r="N65" s="85"/>
      <c r="O65" s="86"/>
      <c r="P65" s="83"/>
      <c r="Q65" s="95"/>
      <c r="R65" s="95"/>
      <c r="S65" s="84"/>
      <c r="T65" s="85">
        <f>O65*H65</f>
        <v>0</v>
      </c>
      <c r="U65" s="86"/>
      <c r="V65" s="83"/>
      <c r="W65" s="95"/>
      <c r="X65" s="84"/>
      <c r="Y65" s="84"/>
      <c r="Z65" s="85"/>
      <c r="AA65" s="97"/>
      <c r="AB65" s="83"/>
      <c r="AC65" s="84"/>
      <c r="AD65" s="84"/>
      <c r="AE65" s="84"/>
      <c r="AF65" s="85"/>
    </row>
    <row r="66" ht="21" spans="1:32">
      <c r="A66" s="64"/>
      <c r="B66" s="65"/>
      <c r="C66" s="65"/>
      <c r="D66" s="65"/>
      <c r="E66" s="65"/>
      <c r="F66" s="65"/>
      <c r="G66" s="65"/>
      <c r="H66" s="66"/>
      <c r="I66" s="89" t="s">
        <v>466</v>
      </c>
      <c r="J66" s="93">
        <f ca="1">SUM(J56:J65)</f>
        <v>0</v>
      </c>
      <c r="K66" s="93">
        <f ca="1">SUM(K56:K65)</f>
        <v>0</v>
      </c>
      <c r="L66" s="93">
        <f ca="1">SUM(L56:L65)</f>
        <v>0</v>
      </c>
      <c r="M66" s="93">
        <f ca="1">SUM(M56:M65)</f>
        <v>0</v>
      </c>
      <c r="N66" s="93">
        <f>SUM(N56:N65)</f>
        <v>0</v>
      </c>
      <c r="O66" s="89" t="s">
        <v>466</v>
      </c>
      <c r="P66" s="93">
        <f ca="1" t="shared" ref="P66:T66" si="56">SUM(P56:P65)</f>
        <v>4.5225472192132</v>
      </c>
      <c r="Q66" s="93">
        <f ca="1" t="shared" si="56"/>
        <v>6.3507906428</v>
      </c>
      <c r="R66" s="93">
        <f ca="1" t="shared" si="56"/>
        <v>10.2472954192</v>
      </c>
      <c r="S66" s="93">
        <f t="shared" si="56"/>
        <v>0</v>
      </c>
      <c r="T66" s="93">
        <f t="shared" si="56"/>
        <v>0</v>
      </c>
      <c r="U66" s="89" t="s">
        <v>466</v>
      </c>
      <c r="V66" s="93">
        <f ca="1">SUM(V56:V65)</f>
        <v>0.1444767126</v>
      </c>
      <c r="W66" s="93">
        <f ca="1" t="shared" ref="W66:AF66" si="57">SUM(W56:W65)</f>
        <v>0.30881556</v>
      </c>
      <c r="X66" s="93">
        <f ca="1" t="shared" si="57"/>
        <v>0.25166064</v>
      </c>
      <c r="Y66" s="93">
        <f ca="1" t="shared" si="57"/>
        <v>0.32655168</v>
      </c>
      <c r="Z66" s="93">
        <f t="shared" si="57"/>
        <v>0</v>
      </c>
      <c r="AA66" s="89" t="s">
        <v>466</v>
      </c>
      <c r="AB66" s="93">
        <f t="shared" si="57"/>
        <v>0</v>
      </c>
      <c r="AC66" s="93">
        <f t="shared" si="57"/>
        <v>0</v>
      </c>
      <c r="AD66" s="93">
        <f t="shared" si="57"/>
        <v>0</v>
      </c>
      <c r="AE66" s="93">
        <f t="shared" si="57"/>
        <v>0</v>
      </c>
      <c r="AF66" s="103">
        <f t="shared" si="57"/>
        <v>0</v>
      </c>
    </row>
  </sheetData>
  <mergeCells count="84">
    <mergeCell ref="A1:H1"/>
    <mergeCell ref="I1:AF1"/>
    <mergeCell ref="A2:H2"/>
    <mergeCell ref="I2:N2"/>
    <mergeCell ref="O2:T2"/>
    <mergeCell ref="U2:Z2"/>
    <mergeCell ref="AA2:AF2"/>
    <mergeCell ref="D3:H3"/>
    <mergeCell ref="J3:N3"/>
    <mergeCell ref="P3:T3"/>
    <mergeCell ref="V3:Z3"/>
    <mergeCell ref="AB3:AF3"/>
    <mergeCell ref="AG3:AK3"/>
    <mergeCell ref="A15:H15"/>
    <mergeCell ref="A18:H18"/>
    <mergeCell ref="I18:AF18"/>
    <mergeCell ref="A19:H19"/>
    <mergeCell ref="I19:N19"/>
    <mergeCell ref="O19:T19"/>
    <mergeCell ref="U19:Z19"/>
    <mergeCell ref="AA19:AF19"/>
    <mergeCell ref="D20:H20"/>
    <mergeCell ref="J20:N20"/>
    <mergeCell ref="P20:T20"/>
    <mergeCell ref="V20:Z20"/>
    <mergeCell ref="AB20:AF20"/>
    <mergeCell ref="AG20:AK20"/>
    <mergeCell ref="A32:H32"/>
    <mergeCell ref="A35:H35"/>
    <mergeCell ref="I35:AF35"/>
    <mergeCell ref="A36:H36"/>
    <mergeCell ref="I36:N36"/>
    <mergeCell ref="O36:T36"/>
    <mergeCell ref="U36:Z36"/>
    <mergeCell ref="AA36:AF36"/>
    <mergeCell ref="D37:H37"/>
    <mergeCell ref="J37:N37"/>
    <mergeCell ref="P37:T37"/>
    <mergeCell ref="V37:Z37"/>
    <mergeCell ref="AB37:AF37"/>
    <mergeCell ref="AG37:AK37"/>
    <mergeCell ref="A49:H49"/>
    <mergeCell ref="A52:H52"/>
    <mergeCell ref="I52:AF52"/>
    <mergeCell ref="A53:H53"/>
    <mergeCell ref="I53:N53"/>
    <mergeCell ref="O53:T53"/>
    <mergeCell ref="U53:Z53"/>
    <mergeCell ref="AA53:AF53"/>
    <mergeCell ref="D54:H54"/>
    <mergeCell ref="J54:N54"/>
    <mergeCell ref="P54:T54"/>
    <mergeCell ref="V54:Z54"/>
    <mergeCell ref="AB54:AF54"/>
    <mergeCell ref="AG54:AK54"/>
    <mergeCell ref="A66:H66"/>
    <mergeCell ref="A3:A4"/>
    <mergeCell ref="A20:A21"/>
    <mergeCell ref="A37:A38"/>
    <mergeCell ref="A54:A55"/>
    <mergeCell ref="B3:B4"/>
    <mergeCell ref="B20:B21"/>
    <mergeCell ref="B37:B38"/>
    <mergeCell ref="B54:B55"/>
    <mergeCell ref="C3:C4"/>
    <mergeCell ref="C20:C21"/>
    <mergeCell ref="C37:C38"/>
    <mergeCell ref="C54:C55"/>
    <mergeCell ref="I3:I4"/>
    <mergeCell ref="I20:I21"/>
    <mergeCell ref="I37:I38"/>
    <mergeCell ref="I54:I55"/>
    <mergeCell ref="O3:O4"/>
    <mergeCell ref="O20:O21"/>
    <mergeCell ref="O37:O38"/>
    <mergeCell ref="O54:O55"/>
    <mergeCell ref="U3:U4"/>
    <mergeCell ref="U20:U21"/>
    <mergeCell ref="U37:U38"/>
    <mergeCell ref="U54:U55"/>
    <mergeCell ref="AA3:AA4"/>
    <mergeCell ref="AA20:AA21"/>
    <mergeCell ref="AA37:AA38"/>
    <mergeCell ref="AA54:AA55"/>
  </mergeCells>
  <pageMargins left="0.75" right="0.75" top="1" bottom="1" header="0.5" footer="0.5"/>
  <pageSetup paperSize="9" orientation="portrait"/>
  <headerFooter/>
  <ignoredErrors>
    <ignoredError sqref="AK39 AF8 J56:AC66 P39:AD44 J45:AE49 J10:AF15 AB22:AC32 V25:W29 P25:Q26 J27:S32" emptyCellReferenc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workbookViewId="0">
      <selection activeCell="F11" sqref="F11"/>
    </sheetView>
  </sheetViews>
  <sheetFormatPr defaultColWidth="9.14166666666667" defaultRowHeight="17" customHeight="1"/>
  <cols>
    <col min="1" max="1" width="7.66666666666667" style="3" customWidth="1"/>
    <col min="2" max="2" width="18.6666666666667" style="4" customWidth="1"/>
    <col min="3" max="3" width="6.66666666666667" style="5" customWidth="1"/>
    <col min="4" max="4" width="14.4333333333333" style="1" customWidth="1"/>
    <col min="5" max="5" width="12" style="1" customWidth="1"/>
    <col min="6" max="7" width="13.55" style="1" customWidth="1"/>
    <col min="8" max="256" width="8.88333333333333" style="1"/>
    <col min="257" max="16384" width="9.14166666666667" style="1"/>
  </cols>
  <sheetData>
    <row r="1" s="1" customFormat="1" ht="37" customHeight="1" spans="1:7">
      <c r="A1" s="6" t="s">
        <v>469</v>
      </c>
      <c r="B1" s="7"/>
      <c r="C1" s="6"/>
      <c r="D1" s="8"/>
      <c r="E1" s="6"/>
      <c r="F1" s="8"/>
      <c r="G1" s="6"/>
    </row>
    <row r="2" s="1" customFormat="1" customHeight="1" spans="1:7">
      <c r="A2" s="9" t="s">
        <v>22</v>
      </c>
      <c r="B2" s="9"/>
      <c r="C2" s="9"/>
      <c r="D2" s="9"/>
      <c r="E2" s="9"/>
      <c r="F2" s="9"/>
      <c r="G2" s="9"/>
    </row>
    <row r="3" s="1" customFormat="1" ht="24" spans="1:7">
      <c r="A3" s="10" t="s">
        <v>23</v>
      </c>
      <c r="B3" s="10" t="s">
        <v>470</v>
      </c>
      <c r="C3" s="10" t="s">
        <v>25</v>
      </c>
      <c r="D3" s="10" t="s">
        <v>471</v>
      </c>
      <c r="E3" s="10" t="s">
        <v>472</v>
      </c>
      <c r="F3" s="10" t="s">
        <v>473</v>
      </c>
      <c r="G3" s="10" t="s">
        <v>48</v>
      </c>
    </row>
    <row r="4" s="1" customFormat="1" customHeight="1" spans="1:12">
      <c r="A4" s="11">
        <v>1</v>
      </c>
      <c r="B4" s="12" t="s">
        <v>474</v>
      </c>
      <c r="C4" s="13" t="s">
        <v>475</v>
      </c>
      <c r="D4" s="14">
        <v>1.35</v>
      </c>
      <c r="E4" s="15">
        <v>0.9715</v>
      </c>
      <c r="F4" s="16">
        <f t="shared" ref="F4:F14" si="0">D4/E4</f>
        <v>1.38960370560988</v>
      </c>
      <c r="G4" s="17"/>
      <c r="I4" s="1" t="s">
        <v>474</v>
      </c>
      <c r="K4" s="1" t="s">
        <v>475</v>
      </c>
      <c r="L4" s="1">
        <v>1.35</v>
      </c>
    </row>
    <row r="5" s="1" customFormat="1" customHeight="1" spans="1:12">
      <c r="A5" s="11">
        <v>2</v>
      </c>
      <c r="B5" s="12" t="s">
        <v>476</v>
      </c>
      <c r="C5" s="13" t="s">
        <v>98</v>
      </c>
      <c r="D5" s="14">
        <v>2.5</v>
      </c>
      <c r="E5" s="15">
        <v>0.9715</v>
      </c>
      <c r="F5" s="16">
        <f t="shared" si="0"/>
        <v>2.57334019557385</v>
      </c>
      <c r="G5" s="17"/>
      <c r="I5" s="1" t="s">
        <v>476</v>
      </c>
      <c r="K5" s="1" t="s">
        <v>98</v>
      </c>
      <c r="L5" s="1">
        <v>2.5</v>
      </c>
    </row>
    <row r="6" s="1" customFormat="1" customHeight="1" spans="1:12">
      <c r="A6" s="11">
        <v>3</v>
      </c>
      <c r="B6" s="12" t="s">
        <v>477</v>
      </c>
      <c r="C6" s="13" t="s">
        <v>98</v>
      </c>
      <c r="D6" s="14">
        <v>0.3</v>
      </c>
      <c r="E6" s="15">
        <v>0.9715</v>
      </c>
      <c r="F6" s="16">
        <f t="shared" si="0"/>
        <v>0.308800823468863</v>
      </c>
      <c r="G6" s="17"/>
      <c r="I6" s="1" t="s">
        <v>477</v>
      </c>
      <c r="K6" s="1" t="s">
        <v>98</v>
      </c>
      <c r="L6" s="1">
        <v>0.3</v>
      </c>
    </row>
    <row r="7" s="1" customFormat="1" customHeight="1" spans="1:13">
      <c r="A7" s="11">
        <v>4</v>
      </c>
      <c r="B7" s="12" t="s">
        <v>478</v>
      </c>
      <c r="C7" s="13" t="s">
        <v>116</v>
      </c>
      <c r="D7" s="14">
        <v>7</v>
      </c>
      <c r="E7" s="15">
        <v>0.8577</v>
      </c>
      <c r="F7" s="16">
        <f t="shared" si="0"/>
        <v>8.16136178150869</v>
      </c>
      <c r="G7" s="17"/>
      <c r="I7" s="1" t="s">
        <v>478</v>
      </c>
      <c r="K7" s="1" t="s">
        <v>116</v>
      </c>
      <c r="L7" s="1">
        <v>7</v>
      </c>
      <c r="M7" s="1">
        <v>3</v>
      </c>
    </row>
    <row r="8" s="1" customFormat="1" customHeight="1" spans="1:13">
      <c r="A8" s="11">
        <v>5</v>
      </c>
      <c r="B8" s="12" t="s">
        <v>479</v>
      </c>
      <c r="C8" s="13" t="s">
        <v>116</v>
      </c>
      <c r="D8" s="14">
        <v>9</v>
      </c>
      <c r="E8" s="15">
        <v>0.8577</v>
      </c>
      <c r="F8" s="16">
        <f t="shared" si="0"/>
        <v>10.4931794333683</v>
      </c>
      <c r="G8" s="17"/>
      <c r="I8" s="1" t="s">
        <v>479</v>
      </c>
      <c r="K8" s="1" t="s">
        <v>116</v>
      </c>
      <c r="L8" s="1">
        <v>9</v>
      </c>
      <c r="M8" s="1">
        <v>3.1</v>
      </c>
    </row>
    <row r="9" s="1" customFormat="1" customHeight="1" spans="1:13">
      <c r="A9" s="11">
        <v>6</v>
      </c>
      <c r="B9" s="12" t="s">
        <v>213</v>
      </c>
      <c r="C9" s="13" t="s">
        <v>57</v>
      </c>
      <c r="D9" s="14">
        <v>3900</v>
      </c>
      <c r="E9" s="15">
        <v>0.8577</v>
      </c>
      <c r="F9" s="16">
        <f t="shared" si="0"/>
        <v>4547.04442112627</v>
      </c>
      <c r="G9" s="17"/>
      <c r="I9" s="1" t="s">
        <v>213</v>
      </c>
      <c r="K9" s="1" t="s">
        <v>57</v>
      </c>
      <c r="L9" s="1">
        <v>3900</v>
      </c>
      <c r="M9" s="1">
        <v>2600</v>
      </c>
    </row>
    <row r="10" s="1" customFormat="1" customHeight="1" spans="1:13">
      <c r="A10" s="11">
        <v>7</v>
      </c>
      <c r="B10" s="12" t="s">
        <v>480</v>
      </c>
      <c r="C10" s="13" t="s">
        <v>116</v>
      </c>
      <c r="D10" s="14">
        <v>12</v>
      </c>
      <c r="E10" s="15">
        <v>0.8577</v>
      </c>
      <c r="F10" s="16">
        <f t="shared" si="0"/>
        <v>13.9909059111577</v>
      </c>
      <c r="G10" s="17"/>
      <c r="I10" s="1" t="s">
        <v>480</v>
      </c>
      <c r="K10" s="1" t="s">
        <v>116</v>
      </c>
      <c r="L10" s="1">
        <v>12</v>
      </c>
      <c r="M10" s="1">
        <v>5.2</v>
      </c>
    </row>
    <row r="11" s="1" customFormat="1" customHeight="1" spans="1:13">
      <c r="A11" s="11">
        <v>8</v>
      </c>
      <c r="B11" s="12" t="s">
        <v>481</v>
      </c>
      <c r="C11" s="13" t="s">
        <v>116</v>
      </c>
      <c r="D11" s="14">
        <v>0.38</v>
      </c>
      <c r="E11" s="18">
        <v>0.8577</v>
      </c>
      <c r="F11" s="19">
        <f t="shared" si="0"/>
        <v>0.443045353853329</v>
      </c>
      <c r="G11" s="17"/>
      <c r="I11" s="1" t="s">
        <v>208</v>
      </c>
      <c r="J11" s="1">
        <v>32.5</v>
      </c>
      <c r="K11" s="1" t="s">
        <v>116</v>
      </c>
      <c r="L11" s="1">
        <v>0.38</v>
      </c>
      <c r="M11" s="1">
        <v>0.26</v>
      </c>
    </row>
    <row r="12" s="1" customFormat="1" customHeight="1" spans="1:13">
      <c r="A12" s="11">
        <v>9</v>
      </c>
      <c r="B12" s="12" t="s">
        <v>304</v>
      </c>
      <c r="C12" s="13" t="s">
        <v>98</v>
      </c>
      <c r="D12" s="14">
        <v>70</v>
      </c>
      <c r="E12" s="15">
        <v>0.9715</v>
      </c>
      <c r="F12" s="16">
        <f t="shared" si="0"/>
        <v>72.0535254760679</v>
      </c>
      <c r="G12" s="17"/>
      <c r="I12" s="1" t="s">
        <v>304</v>
      </c>
      <c r="K12" s="1" t="s">
        <v>98</v>
      </c>
      <c r="L12" s="1">
        <v>70</v>
      </c>
      <c r="M12" s="1">
        <v>70</v>
      </c>
    </row>
    <row r="13" s="1" customFormat="1" customHeight="1" spans="1:13">
      <c r="A13" s="11">
        <v>10</v>
      </c>
      <c r="B13" s="12" t="s">
        <v>482</v>
      </c>
      <c r="C13" s="13" t="s">
        <v>98</v>
      </c>
      <c r="D13" s="14">
        <v>180</v>
      </c>
      <c r="E13" s="15">
        <v>0.9715</v>
      </c>
      <c r="F13" s="16">
        <f t="shared" si="0"/>
        <v>185.280494081318</v>
      </c>
      <c r="G13" s="17"/>
      <c r="I13" s="1" t="s">
        <v>483</v>
      </c>
      <c r="J13" s="1" t="s">
        <v>484</v>
      </c>
      <c r="K13" s="1" t="s">
        <v>98</v>
      </c>
      <c r="L13" s="1">
        <v>180</v>
      </c>
      <c r="M13" s="1">
        <v>70</v>
      </c>
    </row>
    <row r="14" s="1" customFormat="1" customHeight="1" spans="1:13">
      <c r="A14" s="11">
        <v>11</v>
      </c>
      <c r="B14" s="12" t="s">
        <v>485</v>
      </c>
      <c r="C14" s="13" t="s">
        <v>98</v>
      </c>
      <c r="D14" s="14">
        <v>200</v>
      </c>
      <c r="E14" s="15">
        <v>0.9715</v>
      </c>
      <c r="F14" s="16">
        <f t="shared" si="0"/>
        <v>205.867215645908</v>
      </c>
      <c r="G14" s="17"/>
      <c r="I14" s="1" t="s">
        <v>485</v>
      </c>
      <c r="K14" s="1" t="s">
        <v>98</v>
      </c>
      <c r="L14" s="1">
        <v>200</v>
      </c>
      <c r="M14" s="1">
        <v>70</v>
      </c>
    </row>
    <row r="15" s="1" customFormat="1" customHeight="1" spans="1:12">
      <c r="A15" s="11">
        <v>12</v>
      </c>
      <c r="B15" s="12" t="s">
        <v>486</v>
      </c>
      <c r="C15" s="13" t="s">
        <v>98</v>
      </c>
      <c r="D15" s="14">
        <v>1500</v>
      </c>
      <c r="E15" s="15">
        <v>0.8577</v>
      </c>
      <c r="F15" s="16">
        <f t="shared" ref="F15:F25" si="1">D15/E15</f>
        <v>1748.86323889472</v>
      </c>
      <c r="G15" s="17"/>
      <c r="I15" s="1" t="s">
        <v>486</v>
      </c>
      <c r="K15" s="1" t="s">
        <v>98</v>
      </c>
      <c r="L15" s="1">
        <v>1500</v>
      </c>
    </row>
    <row r="16" s="1" customFormat="1" customHeight="1" spans="1:12">
      <c r="A16" s="11">
        <v>13</v>
      </c>
      <c r="B16" s="12" t="s">
        <v>487</v>
      </c>
      <c r="C16" s="13" t="s">
        <v>488</v>
      </c>
      <c r="D16" s="14">
        <v>500</v>
      </c>
      <c r="E16" s="15">
        <v>0.9715</v>
      </c>
      <c r="F16" s="16">
        <f t="shared" si="1"/>
        <v>514.668039114771</v>
      </c>
      <c r="G16" s="17"/>
      <c r="I16" s="1" t="s">
        <v>487</v>
      </c>
      <c r="K16" s="1" t="s">
        <v>488</v>
      </c>
      <c r="L16" s="1">
        <v>500</v>
      </c>
    </row>
    <row r="17" s="1" customFormat="1" customHeight="1" spans="1:12">
      <c r="A17" s="11">
        <v>14</v>
      </c>
      <c r="B17" s="12" t="s">
        <v>489</v>
      </c>
      <c r="C17" s="13" t="s">
        <v>116</v>
      </c>
      <c r="D17" s="14">
        <v>30</v>
      </c>
      <c r="E17" s="15">
        <v>0.8577</v>
      </c>
      <c r="F17" s="16">
        <f t="shared" si="1"/>
        <v>34.9772647778944</v>
      </c>
      <c r="G17" s="17"/>
      <c r="I17" s="1" t="s">
        <v>489</v>
      </c>
      <c r="K17" s="1" t="s">
        <v>116</v>
      </c>
      <c r="L17" s="1">
        <v>30</v>
      </c>
    </row>
    <row r="18" s="1" customFormat="1" customHeight="1" spans="1:12">
      <c r="A18" s="11">
        <v>15</v>
      </c>
      <c r="B18" s="12" t="s">
        <v>490</v>
      </c>
      <c r="C18" s="13" t="s">
        <v>116</v>
      </c>
      <c r="D18" s="14">
        <v>5</v>
      </c>
      <c r="E18" s="15">
        <v>0.8577</v>
      </c>
      <c r="F18" s="16">
        <f t="shared" si="1"/>
        <v>5.82954412964906</v>
      </c>
      <c r="G18" s="17"/>
      <c r="I18" s="1" t="s">
        <v>490</v>
      </c>
      <c r="K18" s="29" t="s">
        <v>116</v>
      </c>
      <c r="L18" s="1">
        <v>5</v>
      </c>
    </row>
    <row r="19" s="1" customFormat="1" customHeight="1" spans="1:12">
      <c r="A19" s="11">
        <v>16</v>
      </c>
      <c r="B19" s="12" t="s">
        <v>491</v>
      </c>
      <c r="C19" s="13" t="s">
        <v>116</v>
      </c>
      <c r="D19" s="14">
        <v>5</v>
      </c>
      <c r="E19" s="15">
        <v>0.8577</v>
      </c>
      <c r="F19" s="16">
        <f t="shared" si="1"/>
        <v>5.82954412964906</v>
      </c>
      <c r="G19" s="17"/>
      <c r="I19" s="1" t="s">
        <v>491</v>
      </c>
      <c r="K19" s="1" t="s">
        <v>116</v>
      </c>
      <c r="L19" s="1">
        <v>5</v>
      </c>
    </row>
    <row r="20" s="1" customFormat="1" customHeight="1" spans="1:12">
      <c r="A20" s="11">
        <v>17</v>
      </c>
      <c r="B20" s="12" t="s">
        <v>492</v>
      </c>
      <c r="C20" s="13" t="s">
        <v>116</v>
      </c>
      <c r="D20" s="14">
        <v>5</v>
      </c>
      <c r="E20" s="15">
        <v>0.8577</v>
      </c>
      <c r="F20" s="16">
        <f t="shared" si="1"/>
        <v>5.82954412964906</v>
      </c>
      <c r="G20" s="17"/>
      <c r="I20" s="1" t="s">
        <v>492</v>
      </c>
      <c r="K20" s="1" t="s">
        <v>116</v>
      </c>
      <c r="L20" s="1">
        <v>5</v>
      </c>
    </row>
    <row r="21" s="1" customFormat="1" customHeight="1" spans="1:12">
      <c r="A21" s="11">
        <v>18</v>
      </c>
      <c r="B21" s="12" t="s">
        <v>493</v>
      </c>
      <c r="C21" s="13" t="s">
        <v>116</v>
      </c>
      <c r="D21" s="14">
        <v>5</v>
      </c>
      <c r="E21" s="15">
        <v>0.8577</v>
      </c>
      <c r="F21" s="16">
        <f t="shared" si="1"/>
        <v>5.82954412964906</v>
      </c>
      <c r="G21" s="17"/>
      <c r="I21" s="1" t="s">
        <v>493</v>
      </c>
      <c r="K21" s="1" t="s">
        <v>116</v>
      </c>
      <c r="L21" s="1">
        <v>5</v>
      </c>
    </row>
    <row r="22" s="1" customFormat="1" customHeight="1" spans="1:12">
      <c r="A22" s="11">
        <v>19</v>
      </c>
      <c r="B22" s="12" t="s">
        <v>494</v>
      </c>
      <c r="C22" s="13" t="s">
        <v>138</v>
      </c>
      <c r="D22" s="14">
        <v>5</v>
      </c>
      <c r="E22" s="15">
        <v>0.8577</v>
      </c>
      <c r="F22" s="16">
        <f t="shared" si="1"/>
        <v>5.82954412964906</v>
      </c>
      <c r="G22" s="17"/>
      <c r="I22" s="2" t="s">
        <v>494</v>
      </c>
      <c r="J22" s="2"/>
      <c r="K22" s="2" t="s">
        <v>138</v>
      </c>
      <c r="L22" s="2">
        <v>5</v>
      </c>
    </row>
    <row r="23" s="1" customFormat="1" customHeight="1" spans="1:12">
      <c r="A23" s="11">
        <v>20</v>
      </c>
      <c r="B23" s="12" t="s">
        <v>495</v>
      </c>
      <c r="C23" s="13" t="s">
        <v>98</v>
      </c>
      <c r="D23" s="14">
        <v>300</v>
      </c>
      <c r="E23" s="15">
        <v>0.8577</v>
      </c>
      <c r="F23" s="16">
        <f t="shared" si="1"/>
        <v>349.772647778944</v>
      </c>
      <c r="G23" s="17"/>
      <c r="I23" s="2" t="s">
        <v>495</v>
      </c>
      <c r="J23" s="2"/>
      <c r="K23" s="2" t="s">
        <v>98</v>
      </c>
      <c r="L23" s="2">
        <v>300</v>
      </c>
    </row>
    <row r="24" s="1" customFormat="1" customHeight="1" spans="1:12">
      <c r="A24" s="11">
        <v>21</v>
      </c>
      <c r="B24" s="12" t="s">
        <v>496</v>
      </c>
      <c r="C24" s="13" t="s">
        <v>96</v>
      </c>
      <c r="D24" s="14">
        <v>30</v>
      </c>
      <c r="E24" s="15">
        <v>0.8577</v>
      </c>
      <c r="F24" s="16">
        <f t="shared" si="1"/>
        <v>34.9772647778944</v>
      </c>
      <c r="G24" s="20"/>
      <c r="I24" s="2" t="s">
        <v>496</v>
      </c>
      <c r="J24" s="2"/>
      <c r="K24" s="2" t="s">
        <v>96</v>
      </c>
      <c r="L24" s="2">
        <v>30</v>
      </c>
    </row>
    <row r="25" s="1" customFormat="1" customHeight="1" spans="1:14">
      <c r="A25" s="11">
        <v>22</v>
      </c>
      <c r="B25" s="12" t="s">
        <v>497</v>
      </c>
      <c r="C25" s="21" t="s">
        <v>96</v>
      </c>
      <c r="D25" s="14">
        <v>2</v>
      </c>
      <c r="E25" s="15">
        <v>0.8577</v>
      </c>
      <c r="F25" s="16">
        <f t="shared" si="1"/>
        <v>2.33181765185962</v>
      </c>
      <c r="G25" s="22"/>
      <c r="I25" s="1" t="s">
        <v>497</v>
      </c>
      <c r="K25" s="1" t="s">
        <v>96</v>
      </c>
      <c r="L25" s="1">
        <v>2</v>
      </c>
      <c r="M25" s="2"/>
      <c r="N25" s="2"/>
    </row>
    <row r="26" s="2" customFormat="1" customHeight="1" spans="1:14">
      <c r="A26" s="11"/>
      <c r="B26" s="23"/>
      <c r="C26" s="13"/>
      <c r="D26" s="14"/>
      <c r="E26" s="15"/>
      <c r="F26" s="16"/>
      <c r="G26" s="14"/>
      <c r="M26" s="1"/>
      <c r="N26" s="1"/>
    </row>
    <row r="27" s="2" customFormat="1" customHeight="1" spans="1:14">
      <c r="A27" s="3"/>
      <c r="B27" s="4"/>
      <c r="C27" s="5"/>
      <c r="D27" s="1"/>
      <c r="E27" s="1"/>
      <c r="F27" s="1"/>
      <c r="G27" s="1"/>
      <c r="I27" s="1"/>
      <c r="J27" s="1"/>
      <c r="K27" s="1"/>
      <c r="L27" s="1"/>
      <c r="M27" s="1"/>
      <c r="N27" s="1"/>
    </row>
    <row r="40" customHeight="1" spans="3:7">
      <c r="C40" s="24">
        <f t="shared" ref="C40:C51" si="2">1-9.3277295/10.9</f>
        <v>0.144245</v>
      </c>
      <c r="D40" s="1">
        <v>10.9</v>
      </c>
      <c r="E40" s="25">
        <f>D40*(1-C40)</f>
        <v>9.3277295</v>
      </c>
      <c r="F40" s="26">
        <v>9.3277295</v>
      </c>
      <c r="G40" s="24">
        <f>1-9.3277295/10.9</f>
        <v>0.144245</v>
      </c>
    </row>
    <row r="41" customHeight="1" spans="3:7">
      <c r="C41" s="24">
        <f t="shared" si="2"/>
        <v>0.144245</v>
      </c>
      <c r="D41" s="1">
        <v>18.1</v>
      </c>
      <c r="E41" s="25">
        <f t="shared" ref="E41:E51" si="3">D41*(1-C41)</f>
        <v>15.4891655</v>
      </c>
      <c r="F41" s="26">
        <v>15.4891655</v>
      </c>
      <c r="G41" s="24">
        <f>1-15.4891655/18.1</f>
        <v>0.144245</v>
      </c>
    </row>
    <row r="42" customHeight="1" spans="3:7">
      <c r="C42" s="24">
        <f t="shared" si="2"/>
        <v>0.144245</v>
      </c>
      <c r="D42" s="1">
        <v>188.5</v>
      </c>
      <c r="E42" s="25">
        <f t="shared" si="3"/>
        <v>161.3098175</v>
      </c>
      <c r="F42" s="26">
        <v>161.3098175</v>
      </c>
      <c r="G42" s="24">
        <f>1-161.3098175/188.5</f>
        <v>0.144245</v>
      </c>
    </row>
    <row r="43" customHeight="1" spans="3:7">
      <c r="C43" s="24">
        <f t="shared" si="2"/>
        <v>0.144245</v>
      </c>
      <c r="D43" s="1">
        <v>145</v>
      </c>
      <c r="E43" s="25">
        <f t="shared" si="3"/>
        <v>124.084475</v>
      </c>
      <c r="F43" s="26">
        <v>124.084475</v>
      </c>
      <c r="G43" s="24">
        <f>1-124.084475/145</f>
        <v>0.144245</v>
      </c>
    </row>
    <row r="44" customHeight="1" spans="3:7">
      <c r="C44" s="24">
        <f t="shared" si="2"/>
        <v>0.144245</v>
      </c>
      <c r="D44" s="27">
        <v>2</v>
      </c>
      <c r="E44" s="25">
        <f t="shared" si="3"/>
        <v>1.71151</v>
      </c>
      <c r="F44" s="26">
        <v>1.71151</v>
      </c>
      <c r="G44" s="24">
        <f>1-88.142765/103</f>
        <v>0.144245</v>
      </c>
    </row>
    <row r="45" customHeight="1" spans="3:7">
      <c r="C45" s="24">
        <f t="shared" si="2"/>
        <v>0.144245</v>
      </c>
      <c r="D45" s="1">
        <v>103</v>
      </c>
      <c r="E45" s="25">
        <f t="shared" si="3"/>
        <v>88.142765</v>
      </c>
      <c r="F45" s="26">
        <v>88.142765</v>
      </c>
      <c r="G45" s="24">
        <f>1-102.6906/120</f>
        <v>0.144245</v>
      </c>
    </row>
    <row r="46" customHeight="1" spans="3:7">
      <c r="C46" s="24">
        <f t="shared" si="2"/>
        <v>0.144245</v>
      </c>
      <c r="D46" s="1">
        <v>120</v>
      </c>
      <c r="E46" s="25">
        <f t="shared" si="3"/>
        <v>102.6906</v>
      </c>
      <c r="F46" s="26">
        <v>102.6906</v>
      </c>
      <c r="G46" s="24">
        <f>1-17.1151/20</f>
        <v>0.144245</v>
      </c>
    </row>
    <row r="47" customHeight="1" spans="3:7">
      <c r="C47" s="24">
        <f t="shared" si="2"/>
        <v>0.144245</v>
      </c>
      <c r="D47" s="27">
        <v>10</v>
      </c>
      <c r="E47" s="25">
        <f t="shared" si="3"/>
        <v>8.55755</v>
      </c>
      <c r="F47" s="26">
        <v>8.55755</v>
      </c>
      <c r="G47" s="24">
        <f>1-22.24963/26</f>
        <v>0.144245</v>
      </c>
    </row>
    <row r="48" customHeight="1" spans="3:6">
      <c r="C48" s="24">
        <f t="shared" si="2"/>
        <v>0.144245</v>
      </c>
      <c r="D48" s="1">
        <v>20</v>
      </c>
      <c r="E48" s="25">
        <f t="shared" si="3"/>
        <v>17.1151</v>
      </c>
      <c r="F48" s="26">
        <v>17.1151</v>
      </c>
    </row>
    <row r="49" customHeight="1" spans="2:6">
      <c r="B49" s="4">
        <f>26*(1-C49)</f>
        <v>22.24963</v>
      </c>
      <c r="C49" s="24">
        <f t="shared" si="2"/>
        <v>0.144245</v>
      </c>
      <c r="D49" s="1">
        <v>23</v>
      </c>
      <c r="E49" s="25">
        <f t="shared" si="3"/>
        <v>19.682365</v>
      </c>
      <c r="F49" s="26">
        <v>19.682365</v>
      </c>
    </row>
    <row r="50" customHeight="1" spans="2:6">
      <c r="B50" s="28">
        <v>22.24963</v>
      </c>
      <c r="C50" s="24">
        <f t="shared" si="2"/>
        <v>0.144245</v>
      </c>
      <c r="D50" s="1">
        <v>103</v>
      </c>
      <c r="E50" s="25">
        <f t="shared" si="3"/>
        <v>88.142765</v>
      </c>
      <c r="F50" s="26">
        <v>88.142765</v>
      </c>
    </row>
    <row r="51" customHeight="1" spans="3:6">
      <c r="C51" s="24">
        <f t="shared" si="2"/>
        <v>0.144245</v>
      </c>
      <c r="D51" s="27">
        <v>1.03</v>
      </c>
      <c r="E51" s="25">
        <f t="shared" si="3"/>
        <v>0.88142765</v>
      </c>
      <c r="F51" s="26">
        <v>0.88142765</v>
      </c>
    </row>
    <row r="52" customHeight="1" spans="5:5">
      <c r="E52" s="25"/>
    </row>
    <row r="53" customHeight="1" spans="3:6">
      <c r="C53" s="24">
        <f t="shared" ref="C53:C57" si="4">1-9.3277295/10.9</f>
        <v>0.144245</v>
      </c>
      <c r="D53" s="1">
        <v>11</v>
      </c>
      <c r="E53" s="25">
        <f>D53*(1-C53)</f>
        <v>9.413305</v>
      </c>
      <c r="F53" s="1">
        <v>9.413305</v>
      </c>
    </row>
    <row r="54" customHeight="1" spans="3:6">
      <c r="C54" s="24">
        <f t="shared" si="4"/>
        <v>0.144245</v>
      </c>
      <c r="D54" s="1">
        <v>165</v>
      </c>
      <c r="E54" s="25">
        <f>D54*(1-C54)</f>
        <v>141.199575</v>
      </c>
      <c r="F54" s="1">
        <v>141.199575</v>
      </c>
    </row>
    <row r="55" customHeight="1" spans="3:6">
      <c r="C55" s="24">
        <f t="shared" si="4"/>
        <v>0.144245</v>
      </c>
      <c r="D55" s="1">
        <v>373.2</v>
      </c>
      <c r="E55" s="25">
        <f>D55*(1-C55)</f>
        <v>319.367766</v>
      </c>
      <c r="F55" s="1">
        <v>319.367766</v>
      </c>
    </row>
    <row r="56" customHeight="1" spans="3:6">
      <c r="C56" s="24">
        <f t="shared" si="4"/>
        <v>0.144245</v>
      </c>
      <c r="D56" s="1">
        <v>116</v>
      </c>
      <c r="E56" s="25">
        <f>D56*(1-C56)</f>
        <v>99.26758</v>
      </c>
      <c r="F56" s="1">
        <v>99.26758</v>
      </c>
    </row>
    <row r="57" customHeight="1" spans="3:6">
      <c r="C57" s="24">
        <f t="shared" si="4"/>
        <v>0.144245</v>
      </c>
      <c r="D57" s="1">
        <v>78.3</v>
      </c>
      <c r="E57" s="25">
        <f>D57*(1-C57)</f>
        <v>67.0056165</v>
      </c>
      <c r="F57" s="1">
        <v>67.0056165</v>
      </c>
    </row>
  </sheetData>
  <mergeCells count="2">
    <mergeCell ref="A1:G1"/>
    <mergeCell ref="A2:G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封面 </vt:lpstr>
      <vt:lpstr>汇总表</vt:lpstr>
      <vt:lpstr>结算审核明细表</vt:lpstr>
      <vt:lpstr>工程量核对表</vt:lpstr>
      <vt:lpstr>工程量计算稿</vt:lpstr>
      <vt:lpstr>二转材料统计</vt:lpstr>
      <vt:lpstr>材料价格除税表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2018-05-26T08:12:00Z</dcterms:created>
  <cp:lastPrinted>2019-01-30T08:22:00Z</cp:lastPrinted>
  <dcterms:modified xsi:type="dcterms:W3CDTF">2024-08-20T06:54:17Z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KSOReadingLayout">
    <vt:bool>true</vt:bool>
  </property>
  <property fmtid="{D5CDD505-2E9C-101B-9397-08002B2CF9AE}" pid="4" name="ICV">
    <vt:lpwstr>C00FE94001DF47D6A63D312830F9977C_13</vt:lpwstr>
  </property>
  <property fmtid="{D5CDD505-2E9C-101B-9397-08002B2CF9AE}" pid="5" name="commondata">
    <vt:lpwstr>eyJoZGlkIjoiNjY0ZTcwMjc5NmU1NmVjMjEyMmZhM2ZhZTAwY2U5YmUifQ==</vt:lpwstr>
  </property>
</Properties>
</file>